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defaultThemeVersion="124226"/>
  <xr:revisionPtr revIDLastSave="1" documentId="8_{A78BB109-5BE1-467E-9A29-5D6A8B26EF56}" xr6:coauthVersionLast="46" xr6:coauthVersionMax="46" xr10:uidLastSave="{91FC3724-0F92-4E31-904F-A59D7218870B}"/>
  <bookViews>
    <workbookView xWindow="38280" yWindow="-120" windowWidth="29040" windowHeight="15840" xr2:uid="{00000000-000D-0000-FFFF-FFFF00000000}"/>
  </bookViews>
  <sheets>
    <sheet name="elektronisk" sheetId="1" r:id="rId1"/>
    <sheet name="beregning" sheetId="2" r:id="rId2"/>
    <sheet name="Ark3" sheetId="3" r:id="rId3"/>
    <sheet name="papir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6" i="1" l="1"/>
  <c r="AL41" i="1" s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16" i="1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G72" i="2"/>
  <c r="B72" i="2"/>
  <c r="E71" i="2"/>
  <c r="G70" i="2" s="1"/>
  <c r="E69" i="2"/>
  <c r="B68" i="2" s="1"/>
  <c r="G68" i="2"/>
  <c r="E67" i="2"/>
  <c r="E65" i="2"/>
  <c r="G64" i="2"/>
  <c r="B64" i="2"/>
  <c r="E63" i="2"/>
  <c r="G62" i="2" s="1"/>
  <c r="E61" i="2"/>
  <c r="G60" i="2" s="1"/>
  <c r="E59" i="2"/>
  <c r="E57" i="2"/>
  <c r="B58" i="2" s="1"/>
  <c r="E55" i="2"/>
  <c r="D39" i="2"/>
  <c r="D38" i="2"/>
  <c r="D37" i="2"/>
  <c r="D36" i="2"/>
  <c r="D33" i="2"/>
  <c r="D32" i="2"/>
  <c r="D28" i="2"/>
  <c r="F28" i="2" s="1"/>
  <c r="D27" i="2"/>
  <c r="F22" i="2" s="1"/>
  <c r="G18" i="2"/>
  <c r="F18" i="2"/>
  <c r="D18" i="2"/>
  <c r="E18" i="2" s="1"/>
  <c r="C18" i="2"/>
  <c r="D17" i="2"/>
  <c r="E17" i="2" s="1"/>
  <c r="C17" i="2"/>
  <c r="D16" i="2"/>
  <c r="F16" i="2"/>
  <c r="C16" i="2"/>
  <c r="E15" i="2"/>
  <c r="E14" i="2" s="1"/>
  <c r="D15" i="2"/>
  <c r="F15" i="2" s="1"/>
  <c r="F14" i="2" s="1"/>
  <c r="C15" i="2"/>
  <c r="B14" i="2"/>
  <c r="D13" i="2"/>
  <c r="D14" i="2" s="1"/>
  <c r="C13" i="2"/>
  <c r="C14" i="2" s="1"/>
  <c r="F12" i="2"/>
  <c r="D12" i="2"/>
  <c r="E12" i="2" s="1"/>
  <c r="C12" i="2"/>
  <c r="D11" i="2"/>
  <c r="E11" i="2" s="1"/>
  <c r="C11" i="2"/>
  <c r="D10" i="2"/>
  <c r="E10" i="2" s="1"/>
  <c r="C10" i="2"/>
  <c r="C9" i="2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W43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6" i="1"/>
  <c r="AH17" i="1"/>
  <c r="AI17" i="1"/>
  <c r="AH18" i="1"/>
  <c r="AI18" i="1"/>
  <c r="AH19" i="1"/>
  <c r="AI19" i="1"/>
  <c r="AH20" i="1"/>
  <c r="AI20" i="1"/>
  <c r="AH21" i="1"/>
  <c r="AI21" i="1"/>
  <c r="AH22" i="1"/>
  <c r="AI22" i="1"/>
  <c r="AH23" i="1"/>
  <c r="AI23" i="1"/>
  <c r="AH24" i="1"/>
  <c r="AI24" i="1"/>
  <c r="AH25" i="1"/>
  <c r="AI25" i="1"/>
  <c r="AH26" i="1"/>
  <c r="AI26" i="1"/>
  <c r="AH27" i="1"/>
  <c r="AI27" i="1"/>
  <c r="AH28" i="1"/>
  <c r="AI28" i="1"/>
  <c r="AH29" i="1"/>
  <c r="AI29" i="1"/>
  <c r="AH30" i="1"/>
  <c r="AI30" i="1"/>
  <c r="AH31" i="1"/>
  <c r="AI31" i="1"/>
  <c r="AH32" i="1"/>
  <c r="AI32" i="1"/>
  <c r="AH33" i="1"/>
  <c r="AI33" i="1"/>
  <c r="AH34" i="1"/>
  <c r="AI34" i="1"/>
  <c r="AH35" i="1"/>
  <c r="AI35" i="1"/>
  <c r="AH36" i="1"/>
  <c r="AI36" i="1"/>
  <c r="AH37" i="1"/>
  <c r="AI37" i="1"/>
  <c r="AH38" i="1"/>
  <c r="AI38" i="1"/>
  <c r="AH39" i="1"/>
  <c r="AI39" i="1"/>
  <c r="AH40" i="1"/>
  <c r="AI40" i="1"/>
  <c r="AH41" i="1"/>
  <c r="AI41" i="1"/>
  <c r="AH42" i="1"/>
  <c r="AI42" i="1"/>
  <c r="AA32" i="1"/>
  <c r="AB32" i="1"/>
  <c r="AC32" i="1"/>
  <c r="AD32" i="1"/>
  <c r="AA33" i="1"/>
  <c r="AB33" i="1"/>
  <c r="AC33" i="1"/>
  <c r="AD33" i="1"/>
  <c r="AA34" i="1"/>
  <c r="AB34" i="1"/>
  <c r="AC34" i="1"/>
  <c r="AD34" i="1"/>
  <c r="AA35" i="1"/>
  <c r="AB35" i="1"/>
  <c r="AC35" i="1"/>
  <c r="AD35" i="1"/>
  <c r="AA36" i="1"/>
  <c r="AB36" i="1"/>
  <c r="AC36" i="1"/>
  <c r="AD36" i="1"/>
  <c r="AA37" i="1"/>
  <c r="AB37" i="1"/>
  <c r="AC37" i="1"/>
  <c r="AD37" i="1"/>
  <c r="AA38" i="1"/>
  <c r="AB38" i="1"/>
  <c r="AC38" i="1"/>
  <c r="AD38" i="1"/>
  <c r="AA39" i="1"/>
  <c r="AB39" i="1"/>
  <c r="AC39" i="1"/>
  <c r="AD39" i="1"/>
  <c r="AA40" i="1"/>
  <c r="AB40" i="1"/>
  <c r="AC40" i="1"/>
  <c r="AD40" i="1"/>
  <c r="AA41" i="1"/>
  <c r="AB41" i="1"/>
  <c r="AC41" i="1"/>
  <c r="AD41" i="1"/>
  <c r="AA42" i="1"/>
  <c r="AB42" i="1"/>
  <c r="AC42" i="1"/>
  <c r="AD42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41" i="1"/>
  <c r="P42" i="1"/>
  <c r="P16" i="1"/>
  <c r="AI16" i="1"/>
  <c r="AH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6" i="1"/>
  <c r="AD26" i="1"/>
  <c r="AC26" i="1"/>
  <c r="AB26" i="1"/>
  <c r="AA26" i="1"/>
  <c r="V26" i="1"/>
  <c r="AD25" i="1"/>
  <c r="AC25" i="1"/>
  <c r="AB25" i="1"/>
  <c r="AA25" i="1"/>
  <c r="V25" i="1"/>
  <c r="F3" i="1"/>
  <c r="AA17" i="1"/>
  <c r="AB17" i="1"/>
  <c r="AC17" i="1"/>
  <c r="AD17" i="1"/>
  <c r="AA18" i="1"/>
  <c r="AB18" i="1"/>
  <c r="AC18" i="1"/>
  <c r="AD18" i="1"/>
  <c r="AA19" i="1"/>
  <c r="AB19" i="1"/>
  <c r="AC19" i="1"/>
  <c r="AD19" i="1"/>
  <c r="AA20" i="1"/>
  <c r="AB20" i="1"/>
  <c r="AC20" i="1"/>
  <c r="AD20" i="1"/>
  <c r="AA21" i="1"/>
  <c r="AB21" i="1"/>
  <c r="AC21" i="1"/>
  <c r="AD21" i="1"/>
  <c r="AA22" i="1"/>
  <c r="AB22" i="1"/>
  <c r="AC22" i="1"/>
  <c r="AD22" i="1"/>
  <c r="AA23" i="1"/>
  <c r="AB23" i="1"/>
  <c r="AC23" i="1"/>
  <c r="AD23" i="1"/>
  <c r="AA24" i="1"/>
  <c r="AB24" i="1"/>
  <c r="AC24" i="1"/>
  <c r="AD24" i="1"/>
  <c r="AA27" i="1"/>
  <c r="AB27" i="1"/>
  <c r="AC27" i="1"/>
  <c r="AD27" i="1"/>
  <c r="AA28" i="1"/>
  <c r="AB28" i="1"/>
  <c r="AC28" i="1"/>
  <c r="AD28" i="1"/>
  <c r="AA29" i="1"/>
  <c r="AB29" i="1"/>
  <c r="AC29" i="1"/>
  <c r="AD29" i="1"/>
  <c r="AA30" i="1"/>
  <c r="AB30" i="1"/>
  <c r="AC30" i="1"/>
  <c r="AD30" i="1"/>
  <c r="AA31" i="1"/>
  <c r="AB31" i="1"/>
  <c r="AC31" i="1"/>
  <c r="AD31" i="1"/>
  <c r="V17" i="1"/>
  <c r="V18" i="1"/>
  <c r="V19" i="1"/>
  <c r="V20" i="1"/>
  <c r="V21" i="1"/>
  <c r="V22" i="1"/>
  <c r="V23" i="1"/>
  <c r="V24" i="1"/>
  <c r="V27" i="1"/>
  <c r="V28" i="1"/>
  <c r="V29" i="1"/>
  <c r="V30" i="1"/>
  <c r="V31" i="1"/>
  <c r="V41" i="1"/>
  <c r="V42" i="1"/>
  <c r="V16" i="1"/>
  <c r="AD16" i="1"/>
  <c r="AC16" i="1"/>
  <c r="AB16" i="1"/>
  <c r="AA16" i="1"/>
  <c r="E13" i="2"/>
  <c r="E16" i="2"/>
  <c r="B62" i="2"/>
  <c r="B70" i="2"/>
  <c r="G10" i="2"/>
  <c r="G17" i="2"/>
  <c r="G58" i="2"/>
  <c r="G66" i="2"/>
  <c r="F10" i="2"/>
  <c r="G13" i="2"/>
  <c r="G16" i="2"/>
  <c r="F17" i="2"/>
  <c r="B66" i="2"/>
  <c r="F13" i="2"/>
  <c r="AL42" i="1" l="1"/>
  <c r="AL32" i="1"/>
  <c r="AL27" i="1"/>
  <c r="B56" i="2"/>
  <c r="AL35" i="1"/>
  <c r="AL20" i="1"/>
  <c r="G56" i="2"/>
  <c r="G73" i="2" s="1"/>
  <c r="E53" i="2" s="1"/>
  <c r="G11" i="2"/>
  <c r="AL29" i="1"/>
  <c r="AL31" i="1"/>
  <c r="AL37" i="1"/>
  <c r="AL39" i="1"/>
  <c r="AL28" i="1"/>
  <c r="D9" i="2"/>
  <c r="F11" i="2"/>
  <c r="AL17" i="1"/>
  <c r="AL36" i="1"/>
  <c r="AL18" i="1"/>
  <c r="AL25" i="1"/>
  <c r="B60" i="2"/>
  <c r="AL26" i="1"/>
  <c r="AL19" i="1"/>
  <c r="G15" i="2"/>
  <c r="G14" i="2" s="1"/>
  <c r="AL34" i="1"/>
  <c r="AL22" i="1"/>
  <c r="AL33" i="1"/>
  <c r="AL30" i="1"/>
  <c r="F27" i="2"/>
  <c r="AL24" i="1"/>
  <c r="G12" i="2"/>
  <c r="AL38" i="1"/>
  <c r="AL40" i="1"/>
  <c r="AL23" i="1"/>
  <c r="AL21" i="1"/>
  <c r="B54" i="2" l="1"/>
  <c r="E51" i="2"/>
  <c r="G9" i="2"/>
  <c r="E9" i="2"/>
  <c r="F9" i="2"/>
  <c r="E49" i="2" l="1"/>
  <c r="B50" i="2" s="1"/>
  <c r="B52" i="2"/>
</calcChain>
</file>

<file path=xl/sharedStrings.xml><?xml version="1.0" encoding="utf-8"?>
<sst xmlns="http://schemas.openxmlformats.org/spreadsheetml/2006/main" count="347" uniqueCount="302">
  <si>
    <t>Foreningen af Danske Vinavlere</t>
  </si>
  <si>
    <t>antal udfyldte høstrapporter:</t>
  </si>
  <si>
    <t>Grundoplysninger:</t>
  </si>
  <si>
    <t xml:space="preserve"> Dette års høstresultat:</t>
  </si>
  <si>
    <t>afstand</t>
  </si>
  <si>
    <t xml:space="preserve"> Druesort</t>
  </si>
  <si>
    <t>Vinmarkens Postdistrikt</t>
  </si>
  <si>
    <t>Medlemsnr.</t>
  </si>
  <si>
    <t>Voksested FHPM</t>
  </si>
  <si>
    <t>rækkeretning +/-90o fra N</t>
  </si>
  <si>
    <t>hældningsretning</t>
  </si>
  <si>
    <t>Antal stokke</t>
  </si>
  <si>
    <t>Række cm</t>
  </si>
  <si>
    <t>Plante cm</t>
  </si>
  <si>
    <t>Plante år</t>
  </si>
  <si>
    <t>Areal</t>
  </si>
  <si>
    <t>Beskæringssystem,     DG, EG, K, S</t>
  </si>
  <si>
    <t xml:space="preserve"> Udspring</t>
  </si>
  <si>
    <t xml:space="preserve"> blomst</t>
  </si>
  <si>
    <t>Høst</t>
  </si>
  <si>
    <t>blomst  - høst</t>
  </si>
  <si>
    <t>Antal kg</t>
  </si>
  <si>
    <t>Sukker oOe</t>
  </si>
  <si>
    <t>Syre g/l</t>
  </si>
  <si>
    <t>PH</t>
  </si>
  <si>
    <t>Modenhed     200-270</t>
  </si>
  <si>
    <t>sukker/syre</t>
  </si>
  <si>
    <t xml:space="preserve"> kg/m2</t>
  </si>
  <si>
    <t>kg/ plante</t>
  </si>
  <si>
    <t>Navn:</t>
  </si>
  <si>
    <t>Postnummer:</t>
  </si>
  <si>
    <t>Farve N B</t>
  </si>
  <si>
    <t>Jordbund</t>
  </si>
  <si>
    <t>Jordbund angives fra 1 til 12</t>
  </si>
  <si>
    <t>hældning i %</t>
  </si>
  <si>
    <t>DG</t>
  </si>
  <si>
    <t>dobbelt guyot</t>
  </si>
  <si>
    <t>EG</t>
  </si>
  <si>
    <t>enkelt guyot</t>
  </si>
  <si>
    <t>K</t>
  </si>
  <si>
    <t>kordon</t>
  </si>
  <si>
    <t>S</t>
  </si>
  <si>
    <t>sylvos</t>
  </si>
  <si>
    <t>V</t>
  </si>
  <si>
    <t>Vifte</t>
  </si>
  <si>
    <t>SH</t>
  </si>
  <si>
    <t>Scott Henry</t>
  </si>
  <si>
    <t>JB</t>
  </si>
  <si>
    <t>Grovsandet jord</t>
  </si>
  <si>
    <t>Finsandet jord</t>
  </si>
  <si>
    <t>Grov lerblandet sand</t>
  </si>
  <si>
    <t>Fin lerblandet sand</t>
  </si>
  <si>
    <t>Grov sandblandet ler</t>
  </si>
  <si>
    <t>Fin sandblandet ler</t>
  </si>
  <si>
    <t>Lerjord</t>
  </si>
  <si>
    <t>Svær lerjord</t>
  </si>
  <si>
    <t>Meget svær lerjord</t>
  </si>
  <si>
    <t>Silt</t>
  </si>
  <si>
    <t>Humus</t>
  </si>
  <si>
    <t>Kalkrig jord</t>
  </si>
  <si>
    <t xml:space="preserve">B betyder grøn drue og </t>
  </si>
  <si>
    <t>N står for blå drue</t>
  </si>
  <si>
    <t>M husmur</t>
  </si>
  <si>
    <t>P pergola,</t>
  </si>
  <si>
    <t xml:space="preserve">F betyder friland,   </t>
  </si>
  <si>
    <t>H betyder drivhus,</t>
  </si>
  <si>
    <t>Røde felter indeholder formler</t>
  </si>
  <si>
    <t>Dyrkningsform:</t>
  </si>
  <si>
    <t>biodynamisk</t>
  </si>
  <si>
    <t>godkendt biodynamisk</t>
  </si>
  <si>
    <t>statskontrolleret økologisk</t>
  </si>
  <si>
    <t xml:space="preserve">økologisk </t>
  </si>
  <si>
    <t>sprøjter ikke med pesticider</t>
  </si>
  <si>
    <t>konventionelt</t>
  </si>
  <si>
    <t>bruger ikke kunstgødning</t>
  </si>
  <si>
    <t>Jordens pH</t>
  </si>
  <si>
    <t>genuine danske vine</t>
  </si>
  <si>
    <t>v-formet stamme</t>
  </si>
  <si>
    <t>Gråskimmel</t>
  </si>
  <si>
    <t>Meldug</t>
  </si>
  <si>
    <t>Falsk meldug</t>
  </si>
  <si>
    <t>(Botrytis)</t>
  </si>
  <si>
    <t>Oidium</t>
  </si>
  <si>
    <t>Peronospera</t>
  </si>
  <si>
    <t>Sygdomme:</t>
  </si>
  <si>
    <t>Skala:</t>
  </si>
  <si>
    <t>ingen symptomer</t>
  </si>
  <si>
    <t>svage symptomer</t>
  </si>
  <si>
    <t xml:space="preserve">middel </t>
  </si>
  <si>
    <t>over middel</t>
  </si>
  <si>
    <t>kraftigt angrebne</t>
  </si>
  <si>
    <t>(på blade og skud ikke på klaser)</t>
  </si>
  <si>
    <t>(angreb på blade, skud og enkelte klaser)</t>
  </si>
  <si>
    <t>udbredte angreb på både blade, skud og klaser</t>
  </si>
  <si>
    <t>udbredte angreb på både blade, skud og en del klaser</t>
  </si>
  <si>
    <t>Medlemsnummer</t>
  </si>
  <si>
    <t>SK</t>
  </si>
  <si>
    <t>Sylvos med fast kordon</t>
  </si>
  <si>
    <t>Jordens pH måles således:</t>
  </si>
  <si>
    <t>1. En skovlfuld jord samlet fra vinmarken lægges i en ren spand</t>
  </si>
  <si>
    <t>3. Der røres godt i løbet af en time</t>
  </si>
  <si>
    <t>2. Jorden dækkes med vand</t>
  </si>
  <si>
    <t>4. pH værdien måles</t>
  </si>
  <si>
    <t>Farve:</t>
  </si>
  <si>
    <t>Voksested:</t>
  </si>
  <si>
    <t>farveskifte</t>
  </si>
  <si>
    <t>NB</t>
  </si>
  <si>
    <t xml:space="preserve">Farve </t>
  </si>
  <si>
    <t>o</t>
  </si>
  <si>
    <t>%</t>
  </si>
  <si>
    <t>cm</t>
  </si>
  <si>
    <t>g/l</t>
  </si>
  <si>
    <r>
      <rPr>
        <vertAlign val="superscript"/>
        <sz val="8"/>
        <rFont val="Arial"/>
        <family val="2"/>
      </rPr>
      <t>o</t>
    </r>
    <r>
      <rPr>
        <sz val="8"/>
        <rFont val="Arial"/>
        <family val="2"/>
      </rPr>
      <t>Oe</t>
    </r>
  </si>
  <si>
    <t>kg</t>
  </si>
  <si>
    <t>Antal</t>
  </si>
  <si>
    <t>Sukker</t>
  </si>
  <si>
    <t>Syre</t>
  </si>
  <si>
    <r>
      <t>m</t>
    </r>
    <r>
      <rPr>
        <vertAlign val="superscript"/>
        <sz val="8"/>
        <rFont val="Arial"/>
        <family val="2"/>
      </rPr>
      <t>2</t>
    </r>
  </si>
  <si>
    <t>dato</t>
  </si>
  <si>
    <t>Ønsker du høstskemaer fremsendt i elektronisk form</t>
  </si>
  <si>
    <t>Her noteres omfang af sygdommen efter følgende skala:</t>
  </si>
  <si>
    <t>Modenhed</t>
  </si>
  <si>
    <t>syre</t>
  </si>
  <si>
    <t>(GB)godkendt biodynamisk</t>
  </si>
  <si>
    <t>(B)biodynamisk</t>
  </si>
  <si>
    <t>(SØ)statskontrolleret økologisk</t>
  </si>
  <si>
    <t xml:space="preserve">(Ø)økologisk </t>
  </si>
  <si>
    <t>(GD)genuine danske vine</t>
  </si>
  <si>
    <t>(IK)bruger ikke kunstgødning</t>
  </si>
  <si>
    <t>(IP)sprøjter ikke med pesticider</t>
  </si>
  <si>
    <t>(K)konventionelt</t>
  </si>
  <si>
    <t>Bemærkning</t>
  </si>
  <si>
    <t>Dyrkningsform</t>
  </si>
  <si>
    <t>Høstskema 2018</t>
  </si>
  <si>
    <t>Beregning af sukker</t>
  </si>
  <si>
    <t>Revideret 20. september 2018, Lars Holt</t>
  </si>
  <si>
    <t>Indtast i de blå felter</t>
  </si>
  <si>
    <t>Sukkertilsætning i grundvin. Må max hæves med 3% alc. i normale år, og til max 12% alc for rødvin.</t>
  </si>
  <si>
    <t>Nødvendig sukkermængde afhænger af gæringstemperatur</t>
  </si>
  <si>
    <t>målt oOe</t>
  </si>
  <si>
    <t>mangler</t>
  </si>
  <si>
    <t>tilsætning af sukker</t>
  </si>
  <si>
    <t>op til</t>
  </si>
  <si>
    <t>%sprit</t>
  </si>
  <si>
    <t>g pr liter</t>
  </si>
  <si>
    <t>Indsæt ballonstørrelse</t>
  </si>
  <si>
    <t>Minimums grænse for vin if. EU forordning</t>
  </si>
  <si>
    <t>Max 11½% for hvidvin ved sukkertilsætning</t>
  </si>
  <si>
    <t>Max 12% for rødvin ved sukkertilsætning</t>
  </si>
  <si>
    <t>Grænse for alkoholindhold i vin if. EU forordning</t>
  </si>
  <si>
    <t>Mousserende vin (10-11% alc i tør grundvin)</t>
  </si>
  <si>
    <t>Start på flaskegæringen (andengæringen)</t>
  </si>
  <si>
    <t>gram sukker pr. l pr. bar</t>
  </si>
  <si>
    <t>kontrol</t>
  </si>
  <si>
    <t>rettet fra 3,1 i henhold til www.winegrowers.info   1/12 2016</t>
  </si>
  <si>
    <t>restsukker</t>
  </si>
  <si>
    <t>gram/liter</t>
  </si>
  <si>
    <t>ønsket tryk</t>
  </si>
  <si>
    <t>bar</t>
  </si>
  <si>
    <t>Flaskestørrelse</t>
  </si>
  <si>
    <t xml:space="preserve">antal flasker </t>
  </si>
  <si>
    <t>liter vin</t>
  </si>
  <si>
    <t>gram sukker pr. liter</t>
  </si>
  <si>
    <t>sukkertilsætning</t>
  </si>
  <si>
    <t>gram</t>
  </si>
  <si>
    <t>gram sukker pr. flaske</t>
  </si>
  <si>
    <t>Mousserende vin , ompropning</t>
  </si>
  <si>
    <t>Transportlikørblanding</t>
  </si>
  <si>
    <t>i alt</t>
  </si>
  <si>
    <t>Svovlmængde</t>
  </si>
  <si>
    <t>frit svovl ekstra</t>
  </si>
  <si>
    <t>gram svovlpulver</t>
  </si>
  <si>
    <t>likørmængde pr. flaske</t>
  </si>
  <si>
    <t>cl likør</t>
  </si>
  <si>
    <t>ekstra tør</t>
  </si>
  <si>
    <t>tør</t>
  </si>
  <si>
    <t>halvtør</t>
  </si>
  <si>
    <t>sød</t>
  </si>
  <si>
    <t>Grape Maturity Measurement at Harvest</t>
  </si>
  <si>
    <t>Indtast Brix-tallet i det interval, hvor den hører hjemme. Der er ikke lineær sammenhæng mellem Brix og Oechle</t>
  </si>
  <si>
    <t>Density</t>
  </si>
  <si>
    <t>Oechsle</t>
  </si>
  <si>
    <t>°Brix</t>
  </si>
  <si>
    <t>Potential Alcohol</t>
  </si>
  <si>
    <t>Faktor</t>
  </si>
  <si>
    <t>Grundstamme</t>
  </si>
  <si>
    <t xml:space="preserve">Her angives dato for farveskifte </t>
  </si>
  <si>
    <t>Datoer angives som DD-MM</t>
  </si>
  <si>
    <t>Acolon</t>
  </si>
  <si>
    <t>Adalmiina</t>
  </si>
  <si>
    <t>Agat Don Skeyi</t>
  </si>
  <si>
    <t>Anastasja</t>
  </si>
  <si>
    <t>AugusztuIP Muscat</t>
  </si>
  <si>
    <t>Baron</t>
  </si>
  <si>
    <t>Bianca</t>
  </si>
  <si>
    <t>Birsthaler Muscat</t>
  </si>
  <si>
    <t>Blau Fränkirsch</t>
  </si>
  <si>
    <t>Blauer Zweigelt</t>
  </si>
  <si>
    <t>Blå Frühburgunder/Pinot noir precoce</t>
  </si>
  <si>
    <t>Blå Spätburgunder</t>
  </si>
  <si>
    <t>Bolero</t>
  </si>
  <si>
    <t>Brianna</t>
  </si>
  <si>
    <t>Cabaret Noir</t>
  </si>
  <si>
    <t>Cabernet Cantor</t>
  </si>
  <si>
    <t>Cabernet Carol</t>
  </si>
  <si>
    <t>Cabernet Cortis</t>
  </si>
  <si>
    <t>Cabernet Sauvignon</t>
  </si>
  <si>
    <t>Calendro</t>
  </si>
  <si>
    <t>Canadice</t>
  </si>
  <si>
    <t>Castel</t>
  </si>
  <si>
    <t>CGL-675</t>
  </si>
  <si>
    <t>Chardonnay</t>
  </si>
  <si>
    <t>Dolcetto</t>
  </si>
  <si>
    <t>Don Muskat</t>
  </si>
  <si>
    <t>Dubljanskij</t>
  </si>
  <si>
    <t>ES 8-2-43</t>
  </si>
  <si>
    <t>Eszther</t>
  </si>
  <si>
    <t>Felicia</t>
  </si>
  <si>
    <t>Gelber Traminer</t>
  </si>
  <si>
    <t>Gewürztraminer</t>
  </si>
  <si>
    <t>GM 7941-11</t>
  </si>
  <si>
    <t>GM 7941-9</t>
  </si>
  <si>
    <t>Grau Burgunder</t>
  </si>
  <si>
    <t>Grüner Veltliner</t>
  </si>
  <si>
    <t>Johanniter</t>
  </si>
  <si>
    <t>Jutrzenka</t>
  </si>
  <si>
    <t>Kerner</t>
  </si>
  <si>
    <t>Korender</t>
  </si>
  <si>
    <t>Krasen</t>
  </si>
  <si>
    <t>KW 87-1</t>
  </si>
  <si>
    <t xml:space="preserve">Leon Millot </t>
  </si>
  <si>
    <t>Lilla</t>
  </si>
  <si>
    <t>Lucie Kuhlmann</t>
  </si>
  <si>
    <t>Madelaine Angevine</t>
  </si>
  <si>
    <t>Maréshal Foch</t>
  </si>
  <si>
    <t>Marechal Joffre</t>
  </si>
  <si>
    <t>Marquette</t>
  </si>
  <si>
    <t>Mellot</t>
  </si>
  <si>
    <t>Merzling</t>
  </si>
  <si>
    <t>Monarch</t>
  </si>
  <si>
    <t>MT2 (Ungarn)</t>
  </si>
  <si>
    <t>Muscaris</t>
  </si>
  <si>
    <t>Muscat Bleu Garnier</t>
  </si>
  <si>
    <t>Muscat Bleu</t>
  </si>
  <si>
    <t>Müller Thurgau</t>
  </si>
  <si>
    <t>Nero</t>
  </si>
  <si>
    <t>NN Spise</t>
  </si>
  <si>
    <t>Orion</t>
  </si>
  <si>
    <t>Ortega</t>
  </si>
  <si>
    <t>Osella</t>
  </si>
  <si>
    <t>Palatina</t>
  </si>
  <si>
    <t>Phoenix</t>
  </si>
  <si>
    <t>Pinotin</t>
  </si>
  <si>
    <t>Portugiser</t>
  </si>
  <si>
    <t>Precoce de Malingre</t>
  </si>
  <si>
    <t>Reberger</t>
  </si>
  <si>
    <t>Reform</t>
  </si>
  <si>
    <t xml:space="preserve">Regent  </t>
  </si>
  <si>
    <t>Reliance</t>
  </si>
  <si>
    <t>Riesel</t>
  </si>
  <si>
    <t>Rondo</t>
  </si>
  <si>
    <t>RR1 (Ungarn)</t>
  </si>
  <si>
    <t>Sagrantino</t>
  </si>
  <si>
    <t>Sauvignon Blanc</t>
  </si>
  <si>
    <t>Savet</t>
  </si>
  <si>
    <t>Seyval Blanc</t>
  </si>
  <si>
    <t>Sibera</t>
  </si>
  <si>
    <t>Siegerrebe</t>
  </si>
  <si>
    <t>Sirius</t>
  </si>
  <si>
    <t>Soigvignier Gris</t>
  </si>
  <si>
    <t>Solaris</t>
  </si>
  <si>
    <t>Soverin Coronation</t>
  </si>
  <si>
    <t>St. Laurent</t>
  </si>
  <si>
    <t>Super Hamburger</t>
  </si>
  <si>
    <t>Triumphe de alsace</t>
  </si>
  <si>
    <t>Vilaris</t>
  </si>
  <si>
    <t>Zalas Perle</t>
  </si>
  <si>
    <t>Zilga</t>
  </si>
  <si>
    <t>egen</t>
  </si>
  <si>
    <t>SO4</t>
  </si>
  <si>
    <t>101-14 Millardet</t>
  </si>
  <si>
    <t>5 C Geisenheim</t>
  </si>
  <si>
    <t xml:space="preserve"> 5 C Teleki</t>
  </si>
  <si>
    <t>Binova</t>
  </si>
  <si>
    <t>Börner</t>
  </si>
  <si>
    <t>Gravesac</t>
  </si>
  <si>
    <t>Kober 125 AA</t>
  </si>
  <si>
    <t>Kober 5 BB</t>
  </si>
  <si>
    <t>Riparia Gloire</t>
  </si>
  <si>
    <t>RU 140</t>
  </si>
  <si>
    <t>Teleki 8 B</t>
  </si>
  <si>
    <t>3309 Coudere</t>
  </si>
  <si>
    <t>420 A</t>
  </si>
  <si>
    <t>Sendes til larsholt@live.dk</t>
  </si>
  <si>
    <t>Skal resultatet med i Vinpressen skal det ske senest 30.december</t>
  </si>
  <si>
    <t>Foreningen Dansk Vin</t>
  </si>
  <si>
    <t>Vinnskimmel</t>
  </si>
  <si>
    <r>
      <t>TK2</t>
    </r>
    <r>
      <rPr>
        <sz val="9"/>
        <rFont val="Calibri"/>
        <family val="2"/>
      </rPr>
      <t>T</t>
    </r>
  </si>
  <si>
    <t>Erhvervsavler?</t>
  </si>
  <si>
    <t>Erhvervsavler</t>
  </si>
  <si>
    <t>N</t>
  </si>
  <si>
    <t>Høstskema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</si>
</sst>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0.000"/>
  </numFmts>
  <fonts count="3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sz val="16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sz val="9"/>
      <name val="Calibri"/>
      <family val="2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FFFF99"/>
      <name val="Arial"/>
      <family val="2"/>
    </font>
    <font>
      <sz val="12"/>
      <color rgb="FFFFFF99"/>
      <name val="Arial"/>
      <family val="2"/>
    </font>
    <font>
      <sz val="12"/>
      <color theme="0" tint="-0.499984740745262"/>
      <name val="Arial"/>
      <family val="2"/>
    </font>
    <font>
      <sz val="12"/>
      <color rgb="FF00B050"/>
      <name val="Arial"/>
      <family val="2"/>
    </font>
    <font>
      <sz val="12"/>
      <color rgb="FF333333"/>
      <name val="Arial"/>
      <family val="2"/>
    </font>
    <font>
      <sz val="12"/>
      <color theme="4" tint="-0.249977111117893"/>
      <name val="Arial"/>
      <family val="2"/>
    </font>
    <font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0"/>
      <color rgb="FF0070C0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9" fontId="2" fillId="0" borderId="0" xfId="0" applyNumberFormat="1" applyFont="1" applyFill="1" applyBorder="1"/>
    <xf numFmtId="16" fontId="3" fillId="0" borderId="0" xfId="0" applyNumberFormat="1" applyFont="1" applyFill="1" applyBorder="1" applyAlignment="1"/>
    <xf numFmtId="164" fontId="2" fillId="0" borderId="0" xfId="0" applyNumberFormat="1" applyFont="1" applyFill="1" applyBorder="1"/>
    <xf numFmtId="0" fontId="2" fillId="0" borderId="0" xfId="0" applyNumberFormat="1" applyFont="1" applyFill="1" applyAlignment="1"/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Continuous"/>
    </xf>
    <xf numFmtId="16" fontId="3" fillId="0" borderId="0" xfId="0" applyNumberFormat="1" applyFont="1" applyFill="1" applyBorder="1" applyAlignment="1">
      <alignment horizontal="centerContinuous"/>
    </xf>
    <xf numFmtId="0" fontId="5" fillId="0" borderId="0" xfId="0" applyNumberFormat="1" applyFont="1" applyFill="1" applyBorder="1" applyAlignment="1">
      <alignment horizontal="center" wrapText="1"/>
    </xf>
    <xf numFmtId="9" fontId="5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0" fontId="3" fillId="0" borderId="0" xfId="0" applyNumberFormat="1" applyFont="1" applyFill="1" applyAlignment="1"/>
    <xf numFmtId="164" fontId="3" fillId="0" borderId="0" xfId="0" applyNumberFormat="1" applyFont="1" applyFill="1" applyAlignment="1"/>
    <xf numFmtId="0" fontId="6" fillId="0" borderId="0" xfId="0" applyNumberFormat="1" applyFont="1" applyFill="1" applyBorder="1" applyAlignment="1"/>
    <xf numFmtId="16" fontId="3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9" fontId="2" fillId="0" borderId="0" xfId="0" applyNumberFormat="1" applyFont="1" applyFill="1"/>
    <xf numFmtId="164" fontId="2" fillId="0" borderId="0" xfId="0" applyNumberFormat="1" applyFont="1" applyFill="1"/>
    <xf numFmtId="0" fontId="2" fillId="0" borderId="0" xfId="0" applyNumberFormat="1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 wrapText="1"/>
    </xf>
    <xf numFmtId="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14" fillId="0" borderId="0" xfId="0" applyFont="1" applyAlignment="1">
      <alignment vertical="top" wrapText="1"/>
    </xf>
    <xf numFmtId="0" fontId="5" fillId="0" borderId="0" xfId="0" applyNumberFormat="1" applyFont="1" applyFill="1" applyAlignment="1">
      <alignment horizontal="center"/>
    </xf>
    <xf numFmtId="16" fontId="5" fillId="0" borderId="0" xfId="0" applyNumberFormat="1" applyFont="1" applyFill="1" applyAlignment="1"/>
    <xf numFmtId="0" fontId="9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9" fontId="2" fillId="0" borderId="1" xfId="0" applyNumberFormat="1" applyFont="1" applyFill="1" applyBorder="1"/>
    <xf numFmtId="1" fontId="3" fillId="0" borderId="2" xfId="0" applyNumberFormat="1" applyFont="1" applyFill="1" applyBorder="1" applyAlignment="1"/>
    <xf numFmtId="0" fontId="2" fillId="0" borderId="2" xfId="0" applyNumberFormat="1" applyFont="1" applyFill="1" applyBorder="1" applyAlignment="1"/>
    <xf numFmtId="0" fontId="3" fillId="0" borderId="2" xfId="0" applyNumberFormat="1" applyFont="1" applyFill="1" applyBorder="1" applyAlignment="1"/>
    <xf numFmtId="0" fontId="3" fillId="0" borderId="0" xfId="0" applyNumberFormat="1" applyFont="1" applyFill="1" applyAlignment="1">
      <alignment horizontal="left"/>
    </xf>
    <xf numFmtId="0" fontId="3" fillId="0" borderId="2" xfId="0" applyNumberFormat="1" applyFont="1" applyFill="1" applyBorder="1" applyAlignment="1">
      <alignment horizontal="center"/>
    </xf>
    <xf numFmtId="9" fontId="3" fillId="0" borderId="2" xfId="0" applyNumberFormat="1" applyFont="1" applyFill="1" applyBorder="1" applyAlignment="1"/>
    <xf numFmtId="16" fontId="6" fillId="0" borderId="2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164" fontId="6" fillId="0" borderId="2" xfId="0" applyNumberFormat="1" applyFont="1" applyFill="1" applyBorder="1" applyAlignment="1">
      <alignment horizontal="right" wrapText="1"/>
    </xf>
    <xf numFmtId="2" fontId="6" fillId="0" borderId="2" xfId="0" applyNumberFormat="1" applyFont="1" applyFill="1" applyBorder="1" applyAlignment="1">
      <alignment horizontal="right"/>
    </xf>
    <xf numFmtId="16" fontId="3" fillId="0" borderId="2" xfId="0" applyNumberFormat="1" applyFont="1" applyFill="1" applyBorder="1" applyAlignment="1"/>
    <xf numFmtId="164" fontId="3" fillId="0" borderId="2" xfId="0" applyNumberFormat="1" applyFont="1" applyFill="1" applyBorder="1" applyAlignment="1"/>
    <xf numFmtId="2" fontId="3" fillId="0" borderId="2" xfId="0" applyNumberFormat="1" applyFont="1" applyFill="1" applyBorder="1" applyAlignment="1"/>
    <xf numFmtId="0" fontId="6" fillId="0" borderId="2" xfId="0" applyNumberFormat="1" applyFont="1" applyFill="1" applyBorder="1" applyAlignment="1">
      <alignment horizontal="center"/>
    </xf>
    <xf numFmtId="16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164" fontId="7" fillId="0" borderId="2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/>
    </xf>
    <xf numFmtId="9" fontId="2" fillId="0" borderId="2" xfId="0" applyNumberFormat="1" applyFont="1" applyFill="1" applyBorder="1"/>
    <xf numFmtId="164" fontId="2" fillId="0" borderId="2" xfId="0" applyNumberFormat="1" applyFont="1" applyFill="1" applyBorder="1"/>
    <xf numFmtId="0" fontId="5" fillId="0" borderId="2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9" fontId="5" fillId="0" borderId="2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textRotation="90" wrapText="1"/>
    </xf>
    <xf numFmtId="0" fontId="8" fillId="0" borderId="0" xfId="0" applyNumberFormat="1" applyFont="1" applyFill="1" applyBorder="1" applyAlignment="1">
      <alignment horizontal="center" textRotation="90" wrapText="1"/>
    </xf>
    <xf numFmtId="9" fontId="5" fillId="0" borderId="0" xfId="0" applyNumberFormat="1" applyFont="1" applyFill="1" applyBorder="1" applyAlignment="1">
      <alignment horizontal="center" textRotation="90" wrapText="1"/>
    </xf>
    <xf numFmtId="0" fontId="10" fillId="0" borderId="2" xfId="0" applyNumberFormat="1" applyFont="1" applyFill="1" applyBorder="1" applyAlignment="1">
      <alignment horizontal="center" wrapText="1"/>
    </xf>
    <xf numFmtId="16" fontId="5" fillId="0" borderId="0" xfId="0" applyNumberFormat="1" applyFont="1" applyFill="1" applyBorder="1" applyAlignment="1">
      <alignment horizontal="center" textRotation="90" wrapText="1"/>
    </xf>
    <xf numFmtId="164" fontId="5" fillId="0" borderId="0" xfId="0" applyNumberFormat="1" applyFont="1" applyFill="1" applyBorder="1" applyAlignment="1">
      <alignment horizontal="center" textRotation="90" wrapText="1"/>
    </xf>
    <xf numFmtId="0" fontId="5" fillId="0" borderId="0" xfId="0" applyNumberFormat="1" applyFont="1" applyFill="1" applyAlignment="1">
      <alignment horizontal="center" textRotation="90" wrapText="1"/>
    </xf>
    <xf numFmtId="0" fontId="5" fillId="0" borderId="0" xfId="0" applyNumberFormat="1" applyFont="1" applyFill="1" applyAlignment="1">
      <alignment horizontal="center" wrapText="1"/>
    </xf>
    <xf numFmtId="16" fontId="5" fillId="0" borderId="2" xfId="0" applyNumberFormat="1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2" fillId="0" borderId="0" xfId="0" applyNumberFormat="1" applyFont="1" applyAlignment="1"/>
    <xf numFmtId="0" fontId="16" fillId="3" borderId="0" xfId="0" applyNumberFormat="1" applyFont="1" applyFill="1" applyAlignment="1"/>
    <xf numFmtId="0" fontId="17" fillId="3" borderId="0" xfId="0" applyNumberFormat="1" applyFont="1" applyFill="1" applyAlignment="1"/>
    <xf numFmtId="0" fontId="17" fillId="0" borderId="0" xfId="0" applyNumberFormat="1" applyFont="1" applyFill="1" applyAlignment="1"/>
    <xf numFmtId="0" fontId="2" fillId="4" borderId="0" xfId="0" applyNumberFormat="1" applyFont="1" applyFill="1" applyAlignment="1"/>
    <xf numFmtId="2" fontId="16" fillId="3" borderId="0" xfId="0" applyNumberFormat="1" applyFont="1" applyFill="1" applyAlignment="1"/>
    <xf numFmtId="9" fontId="2" fillId="0" borderId="0" xfId="0" applyNumberFormat="1" applyFont="1"/>
    <xf numFmtId="164" fontId="2" fillId="0" borderId="0" xfId="0" applyNumberFormat="1" applyFont="1" applyAlignment="1"/>
    <xf numFmtId="10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/>
    <xf numFmtId="3" fontId="11" fillId="0" borderId="0" xfId="0" applyNumberFormat="1" applyFont="1"/>
    <xf numFmtId="0" fontId="16" fillId="5" borderId="0" xfId="0" applyNumberFormat="1" applyFont="1" applyFill="1" applyAlignment="1"/>
    <xf numFmtId="0" fontId="2" fillId="5" borderId="0" xfId="0" applyNumberFormat="1" applyFont="1" applyFill="1" applyAlignment="1"/>
    <xf numFmtId="166" fontId="18" fillId="6" borderId="0" xfId="0" applyNumberFormat="1" applyFont="1" applyFill="1"/>
    <xf numFmtId="164" fontId="18" fillId="6" borderId="0" xfId="0" applyNumberFormat="1" applyFont="1" applyFill="1" applyAlignment="1"/>
    <xf numFmtId="3" fontId="18" fillId="6" borderId="0" xfId="0" applyNumberFormat="1" applyFont="1" applyFill="1" applyAlignment="1"/>
    <xf numFmtId="3" fontId="18" fillId="6" borderId="0" xfId="0" applyNumberFormat="1" applyFont="1" applyFill="1"/>
    <xf numFmtId="0" fontId="2" fillId="6" borderId="0" xfId="0" applyNumberFormat="1" applyFont="1" applyFill="1" applyAlignment="1"/>
    <xf numFmtId="9" fontId="19" fillId="5" borderId="0" xfId="0" applyNumberFormat="1" applyFont="1" applyFill="1"/>
    <xf numFmtId="164" fontId="19" fillId="5" borderId="0" xfId="0" applyNumberFormat="1" applyFont="1" applyFill="1" applyAlignment="1"/>
    <xf numFmtId="10" fontId="19" fillId="5" borderId="0" xfId="0" applyNumberFormat="1" applyFont="1" applyFill="1"/>
    <xf numFmtId="165" fontId="19" fillId="5" borderId="0" xfId="0" applyNumberFormat="1" applyFont="1" applyFill="1"/>
    <xf numFmtId="3" fontId="19" fillId="5" borderId="0" xfId="0" applyNumberFormat="1" applyFont="1" applyFill="1"/>
    <xf numFmtId="3" fontId="18" fillId="5" borderId="0" xfId="0" applyNumberFormat="1" applyFont="1" applyFill="1"/>
    <xf numFmtId="3" fontId="16" fillId="5" borderId="0" xfId="0" applyNumberFormat="1" applyFont="1" applyFill="1"/>
    <xf numFmtId="0" fontId="19" fillId="5" borderId="0" xfId="0" applyNumberFormat="1" applyFont="1" applyFill="1" applyAlignment="1"/>
    <xf numFmtId="9" fontId="17" fillId="5" borderId="0" xfId="0" applyNumberFormat="1" applyFont="1" applyFill="1"/>
    <xf numFmtId="164" fontId="17" fillId="5" borderId="0" xfId="0" applyNumberFormat="1" applyFont="1" applyFill="1" applyAlignment="1"/>
    <xf numFmtId="10" fontId="17" fillId="5" borderId="0" xfId="0" applyNumberFormat="1" applyFont="1" applyFill="1"/>
    <xf numFmtId="165" fontId="17" fillId="5" borderId="0" xfId="0" applyNumberFormat="1" applyFont="1" applyFill="1"/>
    <xf numFmtId="3" fontId="17" fillId="5" borderId="0" xfId="0" applyNumberFormat="1" applyFont="1" applyFill="1"/>
    <xf numFmtId="0" fontId="20" fillId="0" borderId="0" xfId="0" applyNumberFormat="1" applyFont="1" applyAlignment="1"/>
    <xf numFmtId="0" fontId="21" fillId="0" borderId="0" xfId="0" applyNumberFormat="1" applyFont="1" applyAlignment="1"/>
    <xf numFmtId="0" fontId="2" fillId="0" borderId="0" xfId="0" applyNumberFormat="1" applyFont="1" applyAlignment="1">
      <alignment horizontal="right"/>
    </xf>
    <xf numFmtId="164" fontId="16" fillId="3" borderId="0" xfId="0" applyNumberFormat="1" applyFont="1" applyFill="1" applyAlignment="1"/>
    <xf numFmtId="2" fontId="11" fillId="0" borderId="0" xfId="0" applyNumberFormat="1" applyFont="1" applyAlignment="1"/>
    <xf numFmtId="0" fontId="11" fillId="0" borderId="0" xfId="0" applyNumberFormat="1" applyFont="1" applyAlignment="1"/>
    <xf numFmtId="1" fontId="11" fillId="0" borderId="0" xfId="0" applyNumberFormat="1" applyFont="1" applyAlignment="1"/>
    <xf numFmtId="2" fontId="21" fillId="0" borderId="0" xfId="0" applyNumberFormat="1" applyFont="1" applyAlignment="1"/>
    <xf numFmtId="2" fontId="2" fillId="7" borderId="0" xfId="0" applyNumberFormat="1" applyFont="1" applyFill="1" applyAlignment="1"/>
    <xf numFmtId="0" fontId="2" fillId="7" borderId="0" xfId="0" applyNumberFormat="1" applyFont="1" applyFill="1" applyAlignment="1"/>
    <xf numFmtId="1" fontId="2" fillId="7" borderId="0" xfId="0" applyNumberFormat="1" applyFont="1" applyFill="1" applyAlignment="1"/>
    <xf numFmtId="0" fontId="2" fillId="4" borderId="0" xfId="0" applyNumberFormat="1" applyFont="1" applyFill="1" applyAlignment="1">
      <alignment horizontal="center"/>
    </xf>
    <xf numFmtId="0" fontId="22" fillId="0" borderId="0" xfId="0" applyFont="1"/>
    <xf numFmtId="0" fontId="2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167" fontId="23" fillId="0" borderId="0" xfId="0" applyNumberFormat="1" applyFont="1" applyAlignment="1">
      <alignment horizontal="left" vertical="center" wrapText="1"/>
    </xf>
    <xf numFmtId="0" fontId="23" fillId="0" borderId="0" xfId="0" applyNumberFormat="1" applyFont="1" applyAlignment="1"/>
    <xf numFmtId="3" fontId="21" fillId="0" borderId="10" xfId="0" applyNumberFormat="1" applyFont="1" applyBorder="1" applyAlignment="1">
      <alignment horizontal="left" wrapText="1"/>
    </xf>
    <xf numFmtId="164" fontId="21" fillId="0" borderId="10" xfId="0" applyNumberFormat="1" applyFont="1" applyBorder="1" applyAlignment="1">
      <alignment horizontal="left" wrapText="1"/>
    </xf>
    <xf numFmtId="164" fontId="16" fillId="3" borderId="10" xfId="0" applyNumberFormat="1" applyFont="1" applyFill="1" applyBorder="1" applyAlignment="1">
      <alignment horizontal="left" wrapText="1"/>
    </xf>
    <xf numFmtId="0" fontId="23" fillId="0" borderId="0" xfId="0" applyNumberFormat="1" applyFont="1" applyAlignment="1">
      <alignment horizontal="left" vertical="center" wrapText="1"/>
    </xf>
    <xf numFmtId="167" fontId="21" fillId="0" borderId="0" xfId="0" applyNumberFormat="1" applyFont="1" applyAlignment="1"/>
    <xf numFmtId="3" fontId="22" fillId="0" borderId="10" xfId="0" applyNumberFormat="1" applyFont="1" applyBorder="1" applyAlignment="1">
      <alignment horizontal="left" wrapText="1"/>
    </xf>
    <xf numFmtId="164" fontId="22" fillId="0" borderId="10" xfId="0" applyNumberFormat="1" applyFont="1" applyBorder="1" applyAlignment="1">
      <alignment horizontal="left" wrapText="1"/>
    </xf>
    <xf numFmtId="167" fontId="2" fillId="0" borderId="0" xfId="0" applyNumberFormat="1" applyFont="1" applyAlignment="1"/>
    <xf numFmtId="0" fontId="11" fillId="0" borderId="0" xfId="0" applyNumberFormat="1" applyFont="1" applyFill="1" applyAlignment="1"/>
    <xf numFmtId="0" fontId="24" fillId="0" borderId="0" xfId="0" applyFont="1"/>
    <xf numFmtId="0" fontId="15" fillId="0" borderId="0" xfId="0" applyNumberFormat="1" applyFont="1" applyFill="1" applyBorder="1" applyAlignment="1"/>
    <xf numFmtId="0" fontId="15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/>
    </xf>
    <xf numFmtId="0" fontId="26" fillId="0" borderId="0" xfId="0" applyNumberFormat="1" applyFont="1" applyFill="1" applyBorder="1" applyAlignment="1"/>
    <xf numFmtId="0" fontId="26" fillId="0" borderId="0" xfId="0" applyNumberFormat="1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/>
    <xf numFmtId="9" fontId="27" fillId="0" borderId="0" xfId="0" applyNumberFormat="1" applyFont="1" applyFill="1" applyBorder="1"/>
    <xf numFmtId="0" fontId="27" fillId="0" borderId="0" xfId="0" applyNumberFormat="1" applyFont="1" applyFill="1" applyBorder="1" applyAlignment="1"/>
    <xf numFmtId="16" fontId="29" fillId="0" borderId="0" xfId="0" applyNumberFormat="1" applyFont="1" applyFill="1" applyBorder="1" applyAlignment="1"/>
    <xf numFmtId="164" fontId="27" fillId="0" borderId="0" xfId="0" applyNumberFormat="1" applyFont="1" applyFill="1" applyBorder="1"/>
    <xf numFmtId="0" fontId="27" fillId="0" borderId="0" xfId="0" applyNumberFormat="1" applyFont="1" applyFill="1" applyAlignment="1"/>
    <xf numFmtId="0" fontId="30" fillId="0" borderId="1" xfId="0" applyNumberFormat="1" applyFont="1" applyFill="1" applyBorder="1" applyAlignment="1"/>
    <xf numFmtId="0" fontId="27" fillId="0" borderId="1" xfId="0" applyNumberFormat="1" applyFont="1" applyFill="1" applyBorder="1" applyAlignment="1">
      <alignment horizontal="center"/>
    </xf>
    <xf numFmtId="0" fontId="31" fillId="0" borderId="1" xfId="0" applyNumberFormat="1" applyFont="1" applyFill="1" applyBorder="1" applyAlignment="1"/>
    <xf numFmtId="9" fontId="27" fillId="0" borderId="1" xfId="0" applyNumberFormat="1" applyFont="1" applyFill="1" applyBorder="1"/>
    <xf numFmtId="0" fontId="27" fillId="0" borderId="1" xfId="0" applyNumberFormat="1" applyFont="1" applyFill="1" applyBorder="1" applyAlignment="1"/>
    <xf numFmtId="0" fontId="27" fillId="0" borderId="0" xfId="0" applyNumberFormat="1" applyFont="1" applyFill="1" applyBorder="1" applyAlignment="1">
      <alignment horizontal="left"/>
    </xf>
    <xf numFmtId="1" fontId="27" fillId="0" borderId="0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/>
    <xf numFmtId="0" fontId="29" fillId="0" borderId="0" xfId="0" applyNumberFormat="1" applyFont="1" applyFill="1" applyBorder="1" applyAlignment="1"/>
    <xf numFmtId="16" fontId="29" fillId="0" borderId="0" xfId="0" applyNumberFormat="1" applyFont="1" applyFill="1" applyAlignment="1"/>
    <xf numFmtId="0" fontId="27" fillId="0" borderId="0" xfId="0" applyNumberFormat="1" applyFont="1" applyFill="1" applyBorder="1" applyAlignment="1">
      <alignment horizontal="centerContinuous"/>
    </xf>
    <xf numFmtId="16" fontId="29" fillId="0" borderId="0" xfId="0" applyNumberFormat="1" applyFont="1" applyFill="1" applyBorder="1" applyAlignment="1">
      <alignment horizontal="centerContinuous"/>
    </xf>
    <xf numFmtId="0" fontId="29" fillId="8" borderId="0" xfId="0" applyNumberFormat="1" applyFont="1" applyFill="1" applyBorder="1" applyAlignment="1">
      <alignment textRotation="90"/>
    </xf>
    <xf numFmtId="0" fontId="29" fillId="8" borderId="0" xfId="0" applyNumberFormat="1" applyFont="1" applyFill="1" applyAlignment="1">
      <alignment textRotation="90"/>
    </xf>
    <xf numFmtId="0" fontId="29" fillId="0" borderId="0" xfId="0" applyNumberFormat="1" applyFont="1" applyFill="1" applyAlignment="1"/>
    <xf numFmtId="0" fontId="15" fillId="0" borderId="0" xfId="0" applyNumberFormat="1" applyFont="1" applyFill="1" applyBorder="1" applyAlignment="1">
      <alignment wrapText="1"/>
    </xf>
    <xf numFmtId="0" fontId="15" fillId="9" borderId="0" xfId="0" applyNumberFormat="1" applyFont="1" applyFill="1" applyBorder="1" applyAlignment="1">
      <alignment textRotation="90" wrapText="1"/>
    </xf>
    <xf numFmtId="0" fontId="15" fillId="10" borderId="0" xfId="0" applyNumberFormat="1" applyFont="1" applyFill="1" applyBorder="1" applyAlignment="1">
      <alignment textRotation="90" wrapText="1"/>
    </xf>
    <xf numFmtId="0" fontId="15" fillId="11" borderId="0" xfId="0" applyNumberFormat="1" applyFont="1" applyFill="1" applyBorder="1" applyAlignment="1">
      <alignment horizontal="center" textRotation="90" wrapText="1"/>
    </xf>
    <xf numFmtId="0" fontId="15" fillId="12" borderId="0" xfId="0" applyNumberFormat="1" applyFont="1" applyFill="1" applyBorder="1" applyAlignment="1">
      <alignment horizontal="center" textRotation="90" wrapText="1"/>
    </xf>
    <xf numFmtId="0" fontId="15" fillId="10" borderId="0" xfId="0" applyNumberFormat="1" applyFont="1" applyFill="1" applyBorder="1" applyAlignment="1">
      <alignment horizontal="center" textRotation="90" wrapText="1"/>
    </xf>
    <xf numFmtId="0" fontId="15" fillId="0" borderId="0" xfId="0" applyNumberFormat="1" applyFont="1" applyFill="1" applyBorder="1" applyAlignment="1">
      <alignment horizontal="center" textRotation="90" wrapText="1"/>
    </xf>
    <xf numFmtId="9" fontId="15" fillId="0" borderId="0" xfId="0" applyNumberFormat="1" applyFont="1" applyFill="1" applyBorder="1" applyAlignment="1">
      <alignment horizontal="center" textRotation="90" wrapText="1"/>
    </xf>
    <xf numFmtId="0" fontId="15" fillId="13" borderId="0" xfId="0" applyNumberFormat="1" applyFont="1" applyFill="1" applyBorder="1" applyAlignment="1">
      <alignment wrapText="1"/>
    </xf>
    <xf numFmtId="0" fontId="15" fillId="14" borderId="0" xfId="0" applyNumberFormat="1" applyFont="1" applyFill="1" applyBorder="1" applyAlignment="1">
      <alignment horizontal="center" wrapText="1"/>
    </xf>
    <xf numFmtId="16" fontId="15" fillId="0" borderId="0" xfId="0" applyNumberFormat="1" applyFont="1" applyFill="1" applyBorder="1" applyAlignment="1">
      <alignment wrapText="1"/>
    </xf>
    <xf numFmtId="16" fontId="15" fillId="15" borderId="0" xfId="0" applyNumberFormat="1" applyFont="1" applyFill="1" applyBorder="1" applyAlignment="1">
      <alignment wrapText="1"/>
    </xf>
    <xf numFmtId="0" fontId="15" fillId="2" borderId="0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 applyAlignment="1">
      <alignment textRotation="90" wrapText="1"/>
    </xf>
    <xf numFmtId="0" fontId="15" fillId="8" borderId="0" xfId="0" applyNumberFormat="1" applyFont="1" applyFill="1" applyBorder="1" applyAlignment="1">
      <alignment horizontal="left" textRotation="90" wrapText="1"/>
    </xf>
    <xf numFmtId="0" fontId="15" fillId="8" borderId="0" xfId="0" applyNumberFormat="1" applyFont="1" applyFill="1" applyAlignment="1">
      <alignment horizontal="left" textRotation="90" wrapText="1"/>
    </xf>
    <xf numFmtId="0" fontId="15" fillId="8" borderId="0" xfId="0" applyNumberFormat="1" applyFont="1" applyFill="1" applyAlignment="1">
      <alignment textRotation="90" wrapText="1"/>
    </xf>
    <xf numFmtId="0" fontId="15" fillId="0" borderId="0" xfId="0" applyNumberFormat="1" applyFont="1" applyFill="1" applyAlignment="1">
      <alignment wrapText="1"/>
    </xf>
    <xf numFmtId="0" fontId="15" fillId="0" borderId="0" xfId="0" applyNumberFormat="1" applyFont="1" applyFill="1" applyAlignment="1">
      <alignment textRotation="90" wrapText="1"/>
    </xf>
    <xf numFmtId="0" fontId="15" fillId="0" borderId="0" xfId="0" applyNumberFormat="1" applyFont="1" applyFill="1" applyAlignment="1"/>
    <xf numFmtId="1" fontId="15" fillId="1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center"/>
    </xf>
    <xf numFmtId="9" fontId="15" fillId="0" borderId="0" xfId="0" applyNumberFormat="1" applyFont="1" applyFill="1" applyBorder="1" applyAlignment="1"/>
    <xf numFmtId="1" fontId="15" fillId="13" borderId="0" xfId="0" applyNumberFormat="1" applyFont="1" applyFill="1" applyBorder="1" applyAlignment="1"/>
    <xf numFmtId="16" fontId="15" fillId="0" borderId="0" xfId="0" applyNumberFormat="1" applyFont="1" applyFill="1" applyBorder="1" applyAlignment="1">
      <alignment horizontal="right" wrapText="1"/>
    </xf>
    <xf numFmtId="1" fontId="15" fillId="2" borderId="0" xfId="0" applyNumberFormat="1" applyFont="1" applyFill="1" applyBorder="1" applyAlignment="1"/>
    <xf numFmtId="0" fontId="15" fillId="0" borderId="0" xfId="0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right" wrapText="1"/>
    </xf>
    <xf numFmtId="2" fontId="15" fillId="0" borderId="0" xfId="0" applyNumberFormat="1" applyFont="1" applyFill="1" applyBorder="1" applyAlignment="1">
      <alignment horizontal="right"/>
    </xf>
    <xf numFmtId="2" fontId="15" fillId="2" borderId="0" xfId="0" applyNumberFormat="1" applyFont="1" applyFill="1" applyBorder="1" applyAlignment="1"/>
    <xf numFmtId="16" fontId="15" fillId="0" borderId="0" xfId="0" applyNumberFormat="1" applyFont="1" applyFill="1" applyBorder="1" applyAlignment="1"/>
    <xf numFmtId="164" fontId="15" fillId="0" borderId="0" xfId="0" applyNumberFormat="1" applyFont="1" applyFill="1" applyBorder="1" applyAlignment="1"/>
    <xf numFmtId="2" fontId="15" fillId="0" borderId="0" xfId="0" applyNumberFormat="1" applyFont="1" applyFill="1" applyBorder="1" applyAlignment="1"/>
    <xf numFmtId="16" fontId="32" fillId="0" borderId="0" xfId="0" applyNumberFormat="1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wrapText="1"/>
    </xf>
    <xf numFmtId="164" fontId="32" fillId="0" borderId="0" xfId="0" applyNumberFormat="1" applyFont="1" applyFill="1" applyBorder="1" applyAlignment="1">
      <alignment horizontal="center" wrapText="1"/>
    </xf>
    <xf numFmtId="2" fontId="32" fillId="0" borderId="0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Alignment="1">
      <alignment horizontal="left"/>
    </xf>
    <xf numFmtId="0" fontId="15" fillId="0" borderId="0" xfId="0" applyNumberFormat="1" applyFont="1" applyFill="1" applyAlignment="1">
      <alignment horizontal="center"/>
    </xf>
    <xf numFmtId="9" fontId="15" fillId="0" borderId="0" xfId="0" applyNumberFormat="1" applyFont="1" applyFill="1" applyAlignment="1"/>
    <xf numFmtId="16" fontId="15" fillId="0" borderId="0" xfId="0" applyNumberFormat="1" applyFont="1" applyFill="1" applyAlignment="1"/>
    <xf numFmtId="164" fontId="15" fillId="0" borderId="0" xfId="0" applyNumberFormat="1" applyFont="1" applyFill="1" applyAlignment="1"/>
    <xf numFmtId="9" fontId="15" fillId="0" borderId="0" xfId="0" applyNumberFormat="1" applyFont="1" applyFill="1"/>
    <xf numFmtId="164" fontId="15" fillId="0" borderId="0" xfId="0" applyNumberFormat="1" applyFont="1" applyFill="1"/>
    <xf numFmtId="0" fontId="27" fillId="0" borderId="0" xfId="0" applyNumberFormat="1" applyFont="1" applyFill="1" applyAlignment="1">
      <alignment horizontal="left"/>
    </xf>
    <xf numFmtId="0" fontId="27" fillId="0" borderId="0" xfId="0" applyNumberFormat="1" applyFont="1" applyFill="1" applyAlignment="1">
      <alignment horizontal="center"/>
    </xf>
    <xf numFmtId="9" fontId="27" fillId="0" borderId="0" xfId="0" applyNumberFormat="1" applyFont="1" applyFill="1"/>
    <xf numFmtId="0" fontId="27" fillId="9" borderId="0" xfId="0" applyNumberFormat="1" applyFont="1" applyFill="1" applyAlignment="1"/>
    <xf numFmtId="164" fontId="27" fillId="0" borderId="0" xfId="0" applyNumberFormat="1" applyFont="1" applyFill="1"/>
    <xf numFmtId="0" fontId="27" fillId="11" borderId="0" xfId="0" applyNumberFormat="1" applyFont="1" applyFill="1" applyAlignment="1">
      <alignment horizontal="left"/>
    </xf>
    <xf numFmtId="0" fontId="27" fillId="12" borderId="0" xfId="0" applyNumberFormat="1" applyFont="1" applyFill="1" applyAlignment="1">
      <alignment horizontal="left"/>
    </xf>
    <xf numFmtId="0" fontId="27" fillId="12" borderId="0" xfId="0" applyNumberFormat="1" applyFont="1" applyFill="1" applyAlignment="1"/>
    <xf numFmtId="0" fontId="27" fillId="12" borderId="0" xfId="0" applyNumberFormat="1" applyFont="1" applyFill="1" applyAlignment="1">
      <alignment horizontal="center"/>
    </xf>
    <xf numFmtId="9" fontId="27" fillId="12" borderId="0" xfId="0" applyNumberFormat="1" applyFont="1" applyFill="1"/>
    <xf numFmtId="0" fontId="33" fillId="12" borderId="0" xfId="0" applyFont="1" applyFill="1" applyAlignment="1">
      <alignment horizontal="right"/>
    </xf>
    <xf numFmtId="0" fontId="33" fillId="12" borderId="0" xfId="0" applyFont="1" applyFill="1" applyAlignment="1">
      <alignment horizontal="right" vertical="top" wrapText="1"/>
    </xf>
    <xf numFmtId="0" fontId="29" fillId="12" borderId="0" xfId="0" applyFont="1" applyFill="1" applyBorder="1" applyAlignment="1">
      <alignment horizontal="center"/>
    </xf>
    <xf numFmtId="9" fontId="29" fillId="12" borderId="0" xfId="0" applyNumberFormat="1" applyFont="1" applyFill="1" applyBorder="1" applyAlignment="1">
      <alignment horizontal="center"/>
    </xf>
    <xf numFmtId="1" fontId="29" fillId="12" borderId="0" xfId="0" applyNumberFormat="1" applyFont="1" applyFill="1" applyBorder="1" applyAlignment="1">
      <alignment horizontal="center"/>
    </xf>
    <xf numFmtId="16" fontId="29" fillId="15" borderId="0" xfId="0" applyNumberFormat="1" applyFont="1" applyFill="1" applyBorder="1" applyAlignment="1"/>
    <xf numFmtId="0" fontId="27" fillId="8" borderId="0" xfId="0" applyNumberFormat="1" applyFont="1" applyFill="1" applyAlignment="1"/>
    <xf numFmtId="0" fontId="15" fillId="14" borderId="0" xfId="0" applyFont="1" applyFill="1" applyBorder="1" applyAlignment="1">
      <alignment horizontal="center"/>
    </xf>
    <xf numFmtId="0" fontId="15" fillId="14" borderId="0" xfId="0" applyFont="1" applyFill="1" applyBorder="1" applyAlignment="1">
      <alignment horizontal="left"/>
    </xf>
    <xf numFmtId="0" fontId="29" fillId="14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14" borderId="0" xfId="0" applyFont="1" applyFill="1" applyBorder="1" applyAlignment="1">
      <alignment horizontal="left"/>
    </xf>
    <xf numFmtId="0" fontId="15" fillId="14" borderId="0" xfId="0" applyNumberFormat="1" applyFont="1" applyFill="1" applyAlignment="1">
      <alignment horizontal="center"/>
    </xf>
    <xf numFmtId="16" fontId="15" fillId="14" borderId="0" xfId="0" applyNumberFormat="1" applyFont="1" applyFill="1" applyAlignment="1"/>
    <xf numFmtId="16" fontId="29" fillId="14" borderId="0" xfId="0" applyNumberFormat="1" applyFont="1" applyFill="1" applyAlignment="1"/>
    <xf numFmtId="0" fontId="34" fillId="12" borderId="0" xfId="0" applyFont="1" applyFill="1" applyAlignment="1">
      <alignment vertical="top" wrapText="1"/>
    </xf>
    <xf numFmtId="0" fontId="15" fillId="12" borderId="0" xfId="0" applyFont="1" applyFill="1" applyBorder="1" applyAlignment="1">
      <alignment horizontal="center" wrapText="1"/>
    </xf>
    <xf numFmtId="9" fontId="15" fillId="12" borderId="0" xfId="0" applyNumberFormat="1" applyFont="1" applyFill="1" applyBorder="1" applyAlignment="1">
      <alignment horizontal="center" wrapText="1"/>
    </xf>
    <xf numFmtId="1" fontId="15" fillId="12" borderId="0" xfId="0" applyNumberFormat="1" applyFont="1" applyFill="1" applyBorder="1" applyAlignment="1">
      <alignment horizontal="center" wrapText="1"/>
    </xf>
    <xf numFmtId="0" fontId="27" fillId="10" borderId="0" xfId="0" applyNumberFormat="1" applyFont="1" applyFill="1" applyAlignment="1">
      <alignment horizontal="left"/>
    </xf>
    <xf numFmtId="0" fontId="27" fillId="10" borderId="0" xfId="0" applyNumberFormat="1" applyFont="1" applyFill="1" applyAlignment="1"/>
    <xf numFmtId="0" fontId="27" fillId="10" borderId="0" xfId="0" applyNumberFormat="1" applyFont="1" applyFill="1" applyAlignment="1">
      <alignment horizontal="center"/>
    </xf>
    <xf numFmtId="9" fontId="27" fillId="10" borderId="0" xfId="0" applyNumberFormat="1" applyFont="1" applyFill="1"/>
    <xf numFmtId="0" fontId="29" fillId="10" borderId="0" xfId="0" applyNumberFormat="1" applyFont="1" applyFill="1" applyAlignment="1">
      <alignment horizontal="left"/>
    </xf>
    <xf numFmtId="1" fontId="15" fillId="2" borderId="3" xfId="0" applyNumberFormat="1" applyFont="1" applyFill="1" applyBorder="1" applyAlignment="1"/>
    <xf numFmtId="0" fontId="15" fillId="9" borderId="0" xfId="0" applyNumberFormat="1" applyFont="1" applyFill="1" applyAlignment="1"/>
    <xf numFmtId="0" fontId="27" fillId="0" borderId="4" xfId="0" applyNumberFormat="1" applyFont="1" applyFill="1" applyBorder="1" applyAlignment="1"/>
    <xf numFmtId="0" fontId="27" fillId="0" borderId="5" xfId="0" applyNumberFormat="1" applyFont="1" applyFill="1" applyBorder="1" applyAlignment="1">
      <alignment horizontal="left"/>
    </xf>
    <xf numFmtId="0" fontId="27" fillId="0" borderId="5" xfId="0" applyNumberFormat="1" applyFont="1" applyFill="1" applyBorder="1" applyAlignment="1"/>
    <xf numFmtId="0" fontId="27" fillId="0" borderId="5" xfId="0" applyNumberFormat="1" applyFont="1" applyFill="1" applyBorder="1" applyAlignment="1">
      <alignment horizontal="center"/>
    </xf>
    <xf numFmtId="9" fontId="27" fillId="0" borderId="5" xfId="0" applyNumberFormat="1" applyFont="1" applyFill="1" applyBorder="1"/>
    <xf numFmtId="0" fontId="27" fillId="0" borderId="6" xfId="0" applyNumberFormat="1" applyFont="1" applyFill="1" applyBorder="1" applyAlignment="1">
      <alignment horizontal="center"/>
    </xf>
    <xf numFmtId="16" fontId="29" fillId="0" borderId="4" xfId="0" applyNumberFormat="1" applyFont="1" applyFill="1" applyBorder="1" applyAlignment="1"/>
    <xf numFmtId="16" fontId="29" fillId="0" borderId="5" xfId="0" applyNumberFormat="1" applyFont="1" applyFill="1" applyBorder="1" applyAlignment="1"/>
    <xf numFmtId="164" fontId="27" fillId="0" borderId="5" xfId="0" applyNumberFormat="1" applyFont="1" applyFill="1" applyBorder="1"/>
    <xf numFmtId="0" fontId="27" fillId="0" borderId="6" xfId="0" applyNumberFormat="1" applyFont="1" applyFill="1" applyBorder="1" applyAlignment="1"/>
    <xf numFmtId="0" fontId="15" fillId="2" borderId="0" xfId="0" applyNumberFormat="1" applyFont="1" applyFill="1" applyAlignment="1"/>
    <xf numFmtId="0" fontId="30" fillId="0" borderId="4" xfId="0" applyNumberFormat="1" applyFont="1" applyFill="1" applyBorder="1" applyAlignment="1">
      <alignment horizontal="left"/>
    </xf>
    <xf numFmtId="0" fontId="35" fillId="0" borderId="5" xfId="0" applyNumberFormat="1" applyFont="1" applyFill="1" applyBorder="1" applyAlignment="1"/>
    <xf numFmtId="1" fontId="29" fillId="0" borderId="7" xfId="0" applyNumberFormat="1" applyFont="1" applyFill="1" applyBorder="1" applyAlignment="1"/>
    <xf numFmtId="1" fontId="29" fillId="0" borderId="8" xfId="0" applyNumberFormat="1" applyFont="1" applyFill="1" applyBorder="1" applyAlignment="1"/>
    <xf numFmtId="1" fontId="29" fillId="0" borderId="9" xfId="0" applyNumberFormat="1" applyFont="1" applyFill="1" applyBorder="1" applyAlignment="1"/>
    <xf numFmtId="0" fontId="15" fillId="0" borderId="0" xfId="0" applyNumberFormat="1" applyFont="1" applyFill="1" applyAlignment="1">
      <alignment horizontal="center" textRotation="90" wrapText="1"/>
    </xf>
    <xf numFmtId="0" fontId="15" fillId="2" borderId="0" xfId="0" applyNumberFormat="1" applyFont="1" applyFill="1" applyAlignment="1">
      <alignment horizontal="center"/>
    </xf>
    <xf numFmtId="0" fontId="27" fillId="8" borderId="0" xfId="0" applyNumberFormat="1" applyFont="1" applyFill="1" applyAlignment="1">
      <alignment horizontal="center"/>
    </xf>
    <xf numFmtId="0" fontId="34" fillId="12" borderId="0" xfId="0" applyFont="1" applyFill="1" applyAlignment="1">
      <alignment vertical="top" wrapText="1"/>
    </xf>
    <xf numFmtId="0" fontId="15" fillId="12" borderId="0" xfId="0" applyFont="1" applyFill="1" applyAlignment="1">
      <alignment wrapText="1"/>
    </xf>
    <xf numFmtId="0" fontId="0" fillId="12" borderId="0" xfId="0" applyFont="1" applyFill="1" applyAlignment="1"/>
    <xf numFmtId="0" fontId="2" fillId="0" borderId="0" xfId="0" applyNumberFormat="1" applyFont="1" applyFill="1" applyAlignment="1">
      <alignment horizontal="center" textRotation="90"/>
    </xf>
    <xf numFmtId="0" fontId="1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2" fillId="0" borderId="0" xfId="0" applyNumberFormat="1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14</xdr:row>
      <xdr:rowOff>0</xdr:rowOff>
    </xdr:from>
    <xdr:to>
      <xdr:col>17</xdr:col>
      <xdr:colOff>619125</xdr:colOff>
      <xdr:row>14</xdr:row>
      <xdr:rowOff>571500</xdr:rowOff>
    </xdr:to>
    <xdr:pic>
      <xdr:nvPicPr>
        <xdr:cNvPr id="1076" name="Billede 1">
          <a:extLst>
            <a:ext uri="{FF2B5EF4-FFF2-40B4-BE49-F238E27FC236}">
              <a16:creationId xmlns:a16="http://schemas.microsoft.com/office/drawing/2014/main" id="{B8C5B1B8-926B-47DB-95C9-E4126FEE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3543300"/>
          <a:ext cx="6191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</xdr:colOff>
      <xdr:row>14</xdr:row>
      <xdr:rowOff>28575</xdr:rowOff>
    </xdr:from>
    <xdr:to>
      <xdr:col>19</xdr:col>
      <xdr:colOff>47625</xdr:colOff>
      <xdr:row>14</xdr:row>
      <xdr:rowOff>685800</xdr:rowOff>
    </xdr:to>
    <xdr:pic>
      <xdr:nvPicPr>
        <xdr:cNvPr id="1077" name="Billede 2">
          <a:extLst>
            <a:ext uri="{FF2B5EF4-FFF2-40B4-BE49-F238E27FC236}">
              <a16:creationId xmlns:a16="http://schemas.microsoft.com/office/drawing/2014/main" id="{3B4AEB7D-3095-4599-9782-714FDC57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3571875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134"/>
  <sheetViews>
    <sheetView tabSelected="1" zoomScale="110" zoomScaleNormal="110" workbookViewId="0"/>
  </sheetViews>
  <sheetFormatPr defaultColWidth="11.140625" defaultRowHeight="15.75" x14ac:dyDescent="0.25"/>
  <cols>
    <col min="1" max="1" width="17.5703125" style="154" customWidth="1"/>
    <col min="2" max="2" width="10.5703125" style="215" customWidth="1"/>
    <col min="3" max="3" width="3.42578125" style="154" customWidth="1"/>
    <col min="4" max="4" width="6.5703125" style="154" customWidth="1"/>
    <col min="5" max="5" width="6" style="154" customWidth="1"/>
    <col min="6" max="6" width="5.85546875" style="216" customWidth="1"/>
    <col min="7" max="8" width="4.85546875" style="216" customWidth="1"/>
    <col min="9" max="9" width="5.7109375" style="154" customWidth="1"/>
    <col min="10" max="10" width="5.5703125" style="216" customWidth="1"/>
    <col min="11" max="11" width="5.5703125" style="217" customWidth="1"/>
    <col min="12" max="14" width="7.28515625" style="154" customWidth="1"/>
    <col min="15" max="15" width="8.5703125" style="154" customWidth="1"/>
    <col min="16" max="16" width="7.28515625" style="154" customWidth="1"/>
    <col min="17" max="17" width="7.28515625" style="216" customWidth="1"/>
    <col min="18" max="18" width="9.5703125" style="164" customWidth="1"/>
    <col min="19" max="19" width="8.42578125" style="164" customWidth="1"/>
    <col min="20" max="20" width="9.42578125" style="164" customWidth="1"/>
    <col min="21" max="21" width="9" style="164" customWidth="1"/>
    <col min="22" max="22" width="7.140625" style="154" hidden="1" customWidth="1"/>
    <col min="23" max="23" width="8.140625" style="219" customWidth="1"/>
    <col min="24" max="24" width="7.42578125" style="154" customWidth="1"/>
    <col min="25" max="25" width="5.7109375" style="154" customWidth="1"/>
    <col min="26" max="27" width="6.140625" style="154" customWidth="1"/>
    <col min="28" max="28" width="5.7109375" style="154" customWidth="1"/>
    <col min="29" max="30" width="8.5703125" style="154" customWidth="1"/>
    <col min="31" max="33" width="3.28515625" style="154" customWidth="1"/>
    <col min="34" max="34" width="13" style="154" customWidth="1"/>
    <col min="35" max="35" width="10.42578125" style="154" customWidth="1"/>
    <col min="36" max="36" width="2.7109375" style="154" customWidth="1"/>
    <col min="37" max="37" width="11.140625" style="154" customWidth="1"/>
    <col min="38" max="38" width="3" style="154" customWidth="1"/>
    <col min="39" max="39" width="4.85546875" style="216" customWidth="1"/>
    <col min="40" max="40" width="6" style="154" customWidth="1"/>
    <col min="41" max="47" width="4.7109375" style="154" customWidth="1"/>
    <col min="48" max="48" width="5" style="154" customWidth="1"/>
    <col min="49" max="49" width="4" style="154" customWidth="1"/>
    <col min="50" max="50" width="5.140625" style="154" customWidth="1"/>
    <col min="51" max="51" width="6.140625" style="154" customWidth="1"/>
    <col min="52" max="52" width="5.28515625" style="154" customWidth="1"/>
    <col min="53" max="53" width="5.42578125" style="154" customWidth="1"/>
    <col min="54" max="54" width="5" style="154" customWidth="1"/>
    <col min="55" max="56" width="5.28515625" style="154" customWidth="1"/>
    <col min="57" max="57" width="6.5703125" style="154" customWidth="1"/>
    <col min="58" max="58" width="5" style="154" customWidth="1"/>
    <col min="59" max="59" width="6.5703125" style="154" customWidth="1"/>
    <col min="60" max="60" width="7.7109375" style="154" customWidth="1"/>
    <col min="61" max="61" width="7.85546875" style="154" customWidth="1"/>
    <col min="62" max="62" width="7" style="154" customWidth="1"/>
    <col min="63" max="16384" width="11.140625" style="154"/>
  </cols>
  <sheetData>
    <row r="1" spans="1:243" ht="24" thickBot="1" x14ac:dyDescent="0.4">
      <c r="A1" s="146" t="s">
        <v>295</v>
      </c>
      <c r="B1" s="147"/>
      <c r="C1" s="146"/>
      <c r="D1" s="146"/>
      <c r="E1" s="146"/>
      <c r="F1" s="148"/>
      <c r="G1" s="148"/>
      <c r="H1" s="148"/>
      <c r="I1" s="149" t="s">
        <v>293</v>
      </c>
      <c r="J1" s="148"/>
      <c r="K1" s="150"/>
      <c r="L1" s="151"/>
      <c r="M1" s="151"/>
      <c r="N1" s="151"/>
      <c r="O1" s="151"/>
      <c r="P1" s="151"/>
      <c r="Q1" s="148"/>
      <c r="R1" s="152"/>
      <c r="S1" s="152"/>
      <c r="T1" s="152"/>
      <c r="U1" s="152"/>
      <c r="V1" s="151"/>
      <c r="W1" s="153"/>
      <c r="X1" s="151"/>
      <c r="Y1" s="151"/>
      <c r="Z1" s="151"/>
      <c r="AA1" s="151"/>
      <c r="AB1" s="151"/>
      <c r="AC1" s="146" t="s">
        <v>301</v>
      </c>
      <c r="AD1" s="151"/>
      <c r="AE1" s="151"/>
    </row>
    <row r="2" spans="1:243" ht="21.75" thickBot="1" x14ac:dyDescent="0.4">
      <c r="A2" s="155" t="s">
        <v>29</v>
      </c>
      <c r="B2" s="262"/>
      <c r="C2" s="263"/>
      <c r="D2" s="263"/>
      <c r="E2" s="263"/>
      <c r="F2" s="254"/>
      <c r="G2" s="254"/>
      <c r="H2" s="256"/>
      <c r="I2" s="157" t="s">
        <v>294</v>
      </c>
      <c r="J2" s="156"/>
      <c r="K2" s="158"/>
      <c r="L2" s="159"/>
      <c r="M2" s="159"/>
      <c r="N2" s="159"/>
      <c r="O2" s="159"/>
      <c r="P2" s="159"/>
      <c r="Q2" s="159"/>
      <c r="R2" s="152" t="s">
        <v>95</v>
      </c>
      <c r="S2" s="152"/>
      <c r="T2" s="264"/>
      <c r="U2" s="152"/>
      <c r="V2" s="151"/>
      <c r="W2" s="153"/>
      <c r="X2" s="151"/>
      <c r="Y2" s="151"/>
      <c r="Z2" s="151"/>
      <c r="AA2" s="151"/>
      <c r="AB2" s="151"/>
      <c r="AC2" s="151"/>
      <c r="AD2" s="151"/>
      <c r="AE2" s="151"/>
    </row>
    <row r="3" spans="1:243" x14ac:dyDescent="0.25">
      <c r="A3" s="151" t="s">
        <v>1</v>
      </c>
      <c r="B3" s="160"/>
      <c r="C3" s="151"/>
      <c r="D3" s="151"/>
      <c r="E3" s="151"/>
      <c r="F3" s="161">
        <f>COUNTIF(W16:W42,"&gt;0")</f>
        <v>0</v>
      </c>
      <c r="G3" s="148"/>
      <c r="H3" s="148"/>
      <c r="I3" s="151"/>
      <c r="J3" s="148"/>
      <c r="K3" s="150"/>
      <c r="L3" s="151"/>
      <c r="M3" s="151"/>
      <c r="N3" s="151"/>
      <c r="O3" s="151"/>
      <c r="P3" s="151"/>
      <c r="Q3" s="148"/>
      <c r="R3" s="152" t="s">
        <v>30</v>
      </c>
      <c r="S3" s="152"/>
      <c r="T3" s="265"/>
      <c r="U3" s="152"/>
      <c r="V3" s="151"/>
      <c r="W3" s="153"/>
      <c r="X3" s="151"/>
      <c r="Y3" s="151"/>
      <c r="Z3" s="151"/>
      <c r="AA3" s="151"/>
      <c r="AB3" s="151"/>
      <c r="AC3" s="151"/>
      <c r="AD3" s="151"/>
      <c r="AE3" s="151"/>
    </row>
    <row r="4" spans="1:243" ht="16.5" thickBot="1" x14ac:dyDescent="0.3">
      <c r="A4" s="151" t="s">
        <v>67</v>
      </c>
      <c r="B4" s="160"/>
      <c r="C4" s="162"/>
      <c r="D4" s="151" t="s">
        <v>123</v>
      </c>
      <c r="E4" s="151"/>
      <c r="F4" s="161"/>
      <c r="G4" s="148"/>
      <c r="H4" s="148"/>
      <c r="I4" s="151"/>
      <c r="J4" s="151"/>
      <c r="K4" s="151"/>
      <c r="L4" s="151"/>
      <c r="M4" s="163"/>
      <c r="N4" s="151"/>
      <c r="O4" s="151"/>
      <c r="P4" s="151"/>
      <c r="Q4" s="148"/>
      <c r="R4" s="152" t="s">
        <v>299</v>
      </c>
      <c r="S4" s="152"/>
      <c r="T4" s="266" t="s">
        <v>300</v>
      </c>
      <c r="U4" s="152"/>
      <c r="V4" s="151"/>
      <c r="W4" s="153"/>
      <c r="X4" s="151"/>
      <c r="Y4" s="151"/>
      <c r="Z4" s="151"/>
      <c r="AA4" s="151"/>
      <c r="AB4" s="151"/>
      <c r="AC4" s="151"/>
      <c r="AD4" s="151"/>
      <c r="AE4" s="151"/>
    </row>
    <row r="5" spans="1:243" x14ac:dyDescent="0.25">
      <c r="A5" s="151"/>
      <c r="B5" s="160"/>
      <c r="C5" s="162"/>
      <c r="D5" s="151" t="s">
        <v>124</v>
      </c>
      <c r="E5" s="151"/>
      <c r="F5" s="161"/>
      <c r="G5" s="148"/>
      <c r="H5" s="148"/>
      <c r="I5" s="151"/>
      <c r="J5" s="151"/>
      <c r="K5" s="151"/>
      <c r="L5" s="151"/>
      <c r="M5" s="151"/>
      <c r="N5" s="151"/>
      <c r="O5" s="151"/>
      <c r="P5" s="151"/>
      <c r="Q5" s="148"/>
      <c r="S5" s="152"/>
      <c r="T5" s="152"/>
      <c r="U5" s="152"/>
      <c r="V5" s="151"/>
      <c r="W5" s="153"/>
      <c r="X5" s="151"/>
      <c r="Y5" s="151"/>
      <c r="Z5" s="151"/>
      <c r="AA5" s="151"/>
      <c r="AB5" s="151"/>
      <c r="AC5" s="151"/>
      <c r="AD5" s="151"/>
      <c r="AE5" s="151"/>
    </row>
    <row r="6" spans="1:243" x14ac:dyDescent="0.25">
      <c r="A6" s="151"/>
      <c r="B6" s="160"/>
      <c r="C6" s="162"/>
      <c r="D6" s="151" t="s">
        <v>125</v>
      </c>
      <c r="E6" s="151"/>
      <c r="F6" s="161"/>
      <c r="G6" s="148"/>
      <c r="H6" s="148"/>
      <c r="I6" s="151"/>
      <c r="J6" s="151"/>
      <c r="K6" s="151"/>
      <c r="L6" s="151"/>
      <c r="M6" s="151"/>
      <c r="N6" s="151"/>
      <c r="O6" s="151"/>
      <c r="P6" s="151"/>
      <c r="Q6" s="148"/>
      <c r="R6" s="152"/>
      <c r="S6" s="152"/>
      <c r="T6" s="152"/>
      <c r="U6" s="152"/>
      <c r="V6" s="151"/>
      <c r="W6" s="153"/>
      <c r="X6" s="151"/>
      <c r="Y6" s="151"/>
      <c r="Z6" s="151"/>
      <c r="AA6" s="151"/>
      <c r="AB6" s="151"/>
      <c r="AC6" s="151"/>
      <c r="AD6" s="151"/>
      <c r="AE6" s="151"/>
    </row>
    <row r="7" spans="1:243" x14ac:dyDescent="0.25">
      <c r="A7" s="151"/>
      <c r="B7" s="160"/>
      <c r="C7" s="162"/>
      <c r="D7" s="151" t="s">
        <v>126</v>
      </c>
      <c r="E7" s="151"/>
      <c r="F7" s="161"/>
      <c r="G7" s="148"/>
      <c r="H7" s="148"/>
      <c r="I7" s="151"/>
      <c r="J7" s="151"/>
      <c r="K7" s="151"/>
      <c r="L7" s="151"/>
      <c r="M7" s="151"/>
      <c r="N7" s="151"/>
      <c r="O7" s="151"/>
      <c r="P7" s="151"/>
      <c r="Q7" s="148"/>
      <c r="R7" s="152"/>
      <c r="S7" s="152"/>
      <c r="T7" s="152"/>
      <c r="U7" s="152"/>
      <c r="V7" s="151"/>
      <c r="W7" s="153"/>
      <c r="X7" s="151"/>
      <c r="Y7" s="151"/>
      <c r="Z7" s="151"/>
      <c r="AA7" s="151"/>
      <c r="AB7" s="151"/>
      <c r="AC7" s="151"/>
      <c r="AD7" s="151"/>
      <c r="AE7" s="151"/>
    </row>
    <row r="8" spans="1:243" x14ac:dyDescent="0.25">
      <c r="A8" s="151"/>
      <c r="B8" s="160"/>
      <c r="C8" s="162"/>
      <c r="D8" s="151" t="s">
        <v>127</v>
      </c>
      <c r="E8" s="151"/>
      <c r="F8" s="161"/>
      <c r="G8" s="148"/>
      <c r="H8" s="148"/>
      <c r="I8" s="151"/>
      <c r="J8" s="151"/>
      <c r="K8" s="151"/>
      <c r="L8" s="151"/>
      <c r="M8" s="151"/>
      <c r="N8" s="151"/>
      <c r="O8" s="151"/>
      <c r="P8" s="151"/>
      <c r="Q8" s="148"/>
      <c r="R8" s="152"/>
      <c r="S8" s="152"/>
      <c r="T8" s="152"/>
      <c r="U8" s="152"/>
      <c r="V8" s="151"/>
      <c r="W8" s="153"/>
      <c r="X8" s="151"/>
      <c r="Y8" s="151"/>
      <c r="Z8" s="151"/>
      <c r="AA8" s="151"/>
      <c r="AB8" s="151"/>
      <c r="AC8" s="151"/>
      <c r="AD8" s="151"/>
      <c r="AE8" s="151"/>
    </row>
    <row r="9" spans="1:243" x14ac:dyDescent="0.25">
      <c r="A9" s="151"/>
      <c r="B9" s="160"/>
      <c r="C9" s="162"/>
      <c r="D9" s="154" t="s">
        <v>128</v>
      </c>
      <c r="E9" s="151"/>
      <c r="F9" s="161"/>
      <c r="G9" s="148"/>
      <c r="H9" s="148"/>
      <c r="I9" s="151"/>
      <c r="J9" s="151"/>
      <c r="K9" s="151"/>
      <c r="L9" s="151"/>
      <c r="M9" s="151"/>
      <c r="N9" s="151"/>
      <c r="O9" s="151"/>
      <c r="P9" s="151"/>
      <c r="Q9" s="148"/>
      <c r="R9" s="152"/>
      <c r="S9" s="152"/>
      <c r="T9" s="152"/>
      <c r="U9" s="152"/>
      <c r="V9" s="151"/>
      <c r="W9" s="153"/>
      <c r="X9" s="151"/>
      <c r="Y9" s="151"/>
      <c r="Z9" s="151"/>
      <c r="AA9" s="151"/>
      <c r="AB9" s="151"/>
      <c r="AC9" s="151"/>
      <c r="AD9" s="151"/>
      <c r="AE9" s="151"/>
    </row>
    <row r="10" spans="1:243" x14ac:dyDescent="0.25">
      <c r="A10" s="151"/>
      <c r="B10" s="160"/>
      <c r="C10" s="162"/>
      <c r="D10" s="151" t="s">
        <v>129</v>
      </c>
      <c r="E10" s="151"/>
      <c r="F10" s="161"/>
      <c r="G10" s="148"/>
      <c r="H10" s="148"/>
      <c r="I10" s="151"/>
      <c r="J10" s="151"/>
      <c r="K10" s="151"/>
      <c r="L10" s="151"/>
      <c r="M10" s="151"/>
      <c r="N10" s="151"/>
      <c r="O10" s="151"/>
      <c r="P10" s="151"/>
      <c r="Q10" s="148"/>
      <c r="R10" s="152"/>
      <c r="S10" s="152"/>
      <c r="T10" s="152"/>
      <c r="U10" s="152"/>
      <c r="V10" s="151"/>
      <c r="W10" s="153"/>
      <c r="X10" s="151"/>
      <c r="Y10" s="151"/>
      <c r="Z10" s="151"/>
      <c r="AA10" s="151"/>
      <c r="AB10" s="151"/>
      <c r="AC10" s="151"/>
      <c r="AD10" s="151"/>
      <c r="AE10" s="151"/>
    </row>
    <row r="11" spans="1:243" x14ac:dyDescent="0.25">
      <c r="A11" s="151"/>
      <c r="B11" s="160"/>
      <c r="C11" s="162"/>
      <c r="D11" s="151" t="s">
        <v>130</v>
      </c>
      <c r="E11" s="151"/>
      <c r="F11" s="161"/>
      <c r="G11" s="148"/>
      <c r="H11" s="148"/>
      <c r="I11" s="151"/>
      <c r="J11" s="151"/>
      <c r="K11" s="151"/>
      <c r="L11" s="151"/>
      <c r="M11" s="151"/>
      <c r="N11" s="151"/>
      <c r="O11" s="151"/>
      <c r="P11" s="151"/>
      <c r="Q11" s="148"/>
      <c r="R11" s="152"/>
      <c r="S11" s="152"/>
      <c r="T11" s="152"/>
      <c r="U11" s="152"/>
      <c r="V11" s="151"/>
      <c r="W11" s="153"/>
      <c r="X11" s="151"/>
      <c r="Y11" s="151"/>
      <c r="Z11" s="151"/>
      <c r="AA11" s="151"/>
      <c r="AB11" s="151"/>
      <c r="AC11" s="151"/>
      <c r="AD11" s="151"/>
      <c r="AE11" s="151"/>
    </row>
    <row r="12" spans="1:243" ht="16.5" thickBot="1" x14ac:dyDescent="0.3">
      <c r="A12" s="151"/>
      <c r="B12" s="160"/>
      <c r="C12" s="151"/>
      <c r="D12" s="151"/>
      <c r="E12" s="151"/>
      <c r="F12" s="161"/>
      <c r="G12" s="148"/>
      <c r="H12" s="148"/>
      <c r="I12" s="151"/>
      <c r="J12" s="148"/>
      <c r="K12" s="150"/>
      <c r="L12" s="151"/>
      <c r="M12" s="151"/>
      <c r="N12" s="151"/>
      <c r="O12" s="151"/>
      <c r="P12" s="151"/>
      <c r="Q12" s="148"/>
      <c r="R12" s="152"/>
      <c r="S12" s="152"/>
      <c r="T12" s="152"/>
      <c r="U12" s="152"/>
      <c r="V12" s="151"/>
      <c r="W12" s="153"/>
      <c r="X12" s="151"/>
      <c r="Y12" s="151"/>
      <c r="Z12" s="151"/>
      <c r="AA12" s="151"/>
      <c r="AB12" s="151"/>
      <c r="AC12" s="151"/>
      <c r="AD12" s="151"/>
      <c r="AE12" s="151"/>
    </row>
    <row r="13" spans="1:243" ht="16.5" thickBot="1" x14ac:dyDescent="0.3">
      <c r="A13" s="251" t="s">
        <v>2</v>
      </c>
      <c r="B13" s="252"/>
      <c r="C13" s="253"/>
      <c r="D13" s="253"/>
      <c r="E13" s="253"/>
      <c r="F13" s="254"/>
      <c r="G13" s="254"/>
      <c r="H13" s="254"/>
      <c r="I13" s="253"/>
      <c r="J13" s="254"/>
      <c r="K13" s="255"/>
      <c r="L13" s="253"/>
      <c r="M13" s="253"/>
      <c r="N13" s="253"/>
      <c r="O13" s="253"/>
      <c r="P13" s="253"/>
      <c r="Q13" s="256"/>
      <c r="R13" s="257" t="s">
        <v>3</v>
      </c>
      <c r="S13" s="258"/>
      <c r="T13" s="258"/>
      <c r="U13" s="258"/>
      <c r="V13" s="253"/>
      <c r="W13" s="259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60"/>
    </row>
    <row r="14" spans="1:243" ht="57.75" x14ac:dyDescent="0.25">
      <c r="A14" s="151"/>
      <c r="B14" s="160"/>
      <c r="C14" s="151"/>
      <c r="D14" s="151"/>
      <c r="E14" s="151"/>
      <c r="F14" s="148"/>
      <c r="G14" s="148"/>
      <c r="H14" s="148"/>
      <c r="I14" s="151"/>
      <c r="J14" s="148"/>
      <c r="K14" s="150"/>
      <c r="L14" s="151"/>
      <c r="M14" s="165" t="s">
        <v>4</v>
      </c>
      <c r="N14" s="165"/>
      <c r="O14" s="151"/>
      <c r="P14" s="151"/>
      <c r="Q14" s="148"/>
      <c r="R14" s="166"/>
      <c r="S14" s="166"/>
      <c r="T14" s="166"/>
      <c r="U14" s="166"/>
      <c r="V14" s="151"/>
      <c r="W14" s="153"/>
      <c r="X14" s="151"/>
      <c r="Y14" s="151"/>
      <c r="Z14" s="151"/>
      <c r="AA14" s="151"/>
      <c r="AB14" s="151"/>
      <c r="AC14" s="151"/>
      <c r="AD14" s="151"/>
      <c r="AE14" s="167" t="s">
        <v>81</v>
      </c>
      <c r="AF14" s="168" t="s">
        <v>82</v>
      </c>
      <c r="AG14" s="168" t="s">
        <v>83</v>
      </c>
      <c r="AH14" s="169" t="s">
        <v>121</v>
      </c>
    </row>
    <row r="15" spans="1:243" s="190" customFormat="1" ht="85.5" customHeight="1" x14ac:dyDescent="0.2">
      <c r="A15" s="170" t="s">
        <v>5</v>
      </c>
      <c r="B15" s="176" t="s">
        <v>185</v>
      </c>
      <c r="C15" s="171" t="s">
        <v>31</v>
      </c>
      <c r="D15" s="172" t="s">
        <v>6</v>
      </c>
      <c r="E15" s="172" t="s">
        <v>7</v>
      </c>
      <c r="F15" s="173" t="s">
        <v>8</v>
      </c>
      <c r="G15" s="174" t="s">
        <v>32</v>
      </c>
      <c r="H15" s="175" t="s">
        <v>75</v>
      </c>
      <c r="I15" s="176" t="s">
        <v>9</v>
      </c>
      <c r="J15" s="176" t="s">
        <v>10</v>
      </c>
      <c r="K15" s="177" t="s">
        <v>34</v>
      </c>
      <c r="L15" s="170" t="s">
        <v>11</v>
      </c>
      <c r="M15" s="170" t="s">
        <v>12</v>
      </c>
      <c r="N15" s="170" t="s">
        <v>13</v>
      </c>
      <c r="O15" s="170" t="s">
        <v>14</v>
      </c>
      <c r="P15" s="178" t="s">
        <v>15</v>
      </c>
      <c r="Q15" s="179" t="s">
        <v>16</v>
      </c>
      <c r="R15" s="180" t="s">
        <v>17</v>
      </c>
      <c r="S15" s="180" t="s">
        <v>18</v>
      </c>
      <c r="T15" s="181" t="s">
        <v>105</v>
      </c>
      <c r="U15" s="180" t="s">
        <v>19</v>
      </c>
      <c r="V15" s="182" t="s">
        <v>20</v>
      </c>
      <c r="W15" s="183" t="s">
        <v>21</v>
      </c>
      <c r="X15" s="170" t="s">
        <v>22</v>
      </c>
      <c r="Y15" s="170" t="s">
        <v>23</v>
      </c>
      <c r="Z15" s="170" t="s">
        <v>24</v>
      </c>
      <c r="AA15" s="184" t="s">
        <v>25</v>
      </c>
      <c r="AB15" s="184" t="s">
        <v>26</v>
      </c>
      <c r="AC15" s="170" t="s">
        <v>27</v>
      </c>
      <c r="AD15" s="170" t="s">
        <v>28</v>
      </c>
      <c r="AE15" s="185" t="s">
        <v>78</v>
      </c>
      <c r="AF15" s="186" t="s">
        <v>79</v>
      </c>
      <c r="AG15" s="187" t="s">
        <v>296</v>
      </c>
      <c r="AH15" s="188" t="s">
        <v>24</v>
      </c>
      <c r="AI15" s="188" t="s">
        <v>122</v>
      </c>
      <c r="AJ15" s="188"/>
      <c r="AK15" s="188" t="s">
        <v>131</v>
      </c>
      <c r="AL15" s="189" t="s">
        <v>298</v>
      </c>
      <c r="AM15" s="267" t="s">
        <v>132</v>
      </c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188"/>
      <c r="DQ15" s="188"/>
      <c r="DR15" s="188"/>
      <c r="DS15" s="188"/>
      <c r="DT15" s="188"/>
      <c r="DU15" s="188"/>
      <c r="DV15" s="188"/>
      <c r="DW15" s="188"/>
      <c r="DX15" s="188"/>
      <c r="DY15" s="188"/>
      <c r="DZ15" s="188"/>
      <c r="EA15" s="188"/>
      <c r="EB15" s="188"/>
      <c r="EC15" s="188"/>
      <c r="ED15" s="188"/>
      <c r="EE15" s="188"/>
      <c r="EF15" s="188"/>
      <c r="EG15" s="188"/>
      <c r="EH15" s="188"/>
      <c r="EI15" s="188"/>
      <c r="EJ15" s="188"/>
      <c r="EK15" s="188"/>
      <c r="EL15" s="188"/>
      <c r="EM15" s="188"/>
      <c r="EN15" s="188"/>
      <c r="EO15" s="188"/>
      <c r="EP15" s="188"/>
      <c r="EQ15" s="188"/>
      <c r="ER15" s="188"/>
      <c r="ES15" s="188"/>
      <c r="ET15" s="188"/>
      <c r="EU15" s="188"/>
      <c r="EV15" s="188"/>
      <c r="EW15" s="188"/>
      <c r="EX15" s="188"/>
      <c r="EY15" s="188"/>
      <c r="EZ15" s="188"/>
      <c r="FA15" s="188"/>
      <c r="FB15" s="188"/>
      <c r="FC15" s="188"/>
      <c r="FD15" s="188"/>
      <c r="FE15" s="188"/>
      <c r="FF15" s="188"/>
      <c r="FG15" s="188"/>
      <c r="FH15" s="188"/>
      <c r="FI15" s="188"/>
      <c r="FJ15" s="188"/>
      <c r="FK15" s="188"/>
      <c r="FL15" s="188"/>
      <c r="FM15" s="188"/>
      <c r="FN15" s="188"/>
      <c r="FO15" s="188"/>
      <c r="FP15" s="188"/>
      <c r="FQ15" s="188"/>
      <c r="FR15" s="188"/>
      <c r="FS15" s="188"/>
      <c r="FT15" s="188"/>
      <c r="FU15" s="188"/>
      <c r="FV15" s="188"/>
      <c r="FW15" s="188"/>
      <c r="FX15" s="188"/>
      <c r="FY15" s="188"/>
      <c r="FZ15" s="188"/>
      <c r="GA15" s="188"/>
      <c r="GB15" s="188"/>
      <c r="GC15" s="188"/>
      <c r="GD15" s="188"/>
      <c r="GE15" s="188"/>
      <c r="GF15" s="188"/>
      <c r="GG15" s="188"/>
      <c r="GH15" s="188"/>
      <c r="GI15" s="188"/>
      <c r="GJ15" s="188"/>
      <c r="GK15" s="188"/>
      <c r="GL15" s="188"/>
      <c r="GM15" s="188"/>
      <c r="GN15" s="188"/>
      <c r="GO15" s="188"/>
      <c r="GP15" s="188"/>
      <c r="GQ15" s="188"/>
      <c r="GR15" s="188"/>
      <c r="GS15" s="188"/>
      <c r="GT15" s="188"/>
      <c r="GU15" s="188"/>
      <c r="GV15" s="188"/>
      <c r="GW15" s="188"/>
      <c r="GX15" s="188"/>
      <c r="GY15" s="188"/>
      <c r="GZ15" s="188"/>
      <c r="HA15" s="188"/>
      <c r="HB15" s="188"/>
      <c r="HC15" s="188"/>
      <c r="HD15" s="188"/>
      <c r="HE15" s="188"/>
      <c r="HF15" s="188"/>
      <c r="HG15" s="188"/>
      <c r="HH15" s="188"/>
      <c r="HI15" s="188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8"/>
      <c r="IF15" s="188"/>
      <c r="IG15" s="188"/>
      <c r="IH15" s="188"/>
      <c r="II15" s="188"/>
    </row>
    <row r="16" spans="1:243" s="190" customFormat="1" ht="11.25" x14ac:dyDescent="0.2">
      <c r="A16" s="138"/>
      <c r="B16" s="143"/>
      <c r="C16" s="138"/>
      <c r="D16" s="191">
        <f>T$3</f>
        <v>0</v>
      </c>
      <c r="E16" s="191">
        <f>$T$2</f>
        <v>0</v>
      </c>
      <c r="F16" s="192"/>
      <c r="G16" s="192"/>
      <c r="H16" s="192"/>
      <c r="I16" s="138"/>
      <c r="J16" s="192"/>
      <c r="K16" s="193"/>
      <c r="L16" s="138"/>
      <c r="M16" s="138"/>
      <c r="N16" s="138"/>
      <c r="O16" s="138"/>
      <c r="P16" s="194" t="str">
        <f>IF(L16*M16*N16/10000&gt;0,L16*M16*N16/10000,"")</f>
        <v/>
      </c>
      <c r="Q16" s="192"/>
      <c r="R16" s="195"/>
      <c r="S16" s="195"/>
      <c r="T16" s="195"/>
      <c r="U16" s="195"/>
      <c r="V16" s="196" t="str">
        <f t="shared" ref="V16:V42" si="0">IF(U16&gt;0,IF(S16&gt;0,U16-S16,U16-$S$43),"")</f>
        <v/>
      </c>
      <c r="W16" s="197"/>
      <c r="X16" s="197"/>
      <c r="Y16" s="198"/>
      <c r="Z16" s="199"/>
      <c r="AA16" s="196" t="str">
        <f>IF(Z16&gt;0,Z16*Z16*(X16*0.22822+1.2),"")</f>
        <v/>
      </c>
      <c r="AB16" s="196" t="str">
        <f>IF(Y16&gt;0,X16*10/Y16,"")</f>
        <v/>
      </c>
      <c r="AC16" s="200" t="str">
        <f>IF(W16&gt;0,W16/M16/N16/L16*10000,"")</f>
        <v/>
      </c>
      <c r="AD16" s="200" t="str">
        <f>IF(W16&gt;0,W16/L16,"")</f>
        <v/>
      </c>
      <c r="AE16" s="138"/>
      <c r="AH16" s="75" t="str">
        <f>IF(Z16&lt;&gt;"",IF(AA16&gt;270,"overmoden",IF(AA16&lt;200,"umoden","moden")),"")</f>
        <v/>
      </c>
      <c r="AI16" s="75" t="str">
        <f>IF(Y16&lt;&gt;"",IF(AB16&gt;74.5,"moden","umoden"),"")</f>
        <v/>
      </c>
      <c r="AL16" s="261" t="str">
        <f>IF(T4&lt;&gt;"N","e","")</f>
        <v/>
      </c>
      <c r="AM16" s="268" t="str">
        <f>IF($C$4&lt;&gt;"","GB",IF($C$5&lt;&gt;"","B",IF($C$6&lt;&gt;"","SØ",IF($C$7&lt;&gt;"","Ø",IF($C$8&lt;&gt;"","GD",IF($C$9&lt;&gt;"","IK",IF($C$10&lt;&gt;"","IP","K")))))))</f>
        <v>K</v>
      </c>
    </row>
    <row r="17" spans="1:244" s="138" customFormat="1" ht="11.25" x14ac:dyDescent="0.2">
      <c r="B17" s="143"/>
      <c r="D17" s="191">
        <f t="shared" ref="D17:D31" si="1">T$3</f>
        <v>0</v>
      </c>
      <c r="E17" s="191">
        <f t="shared" ref="E17:E42" si="2">$T$2</f>
        <v>0</v>
      </c>
      <c r="F17" s="192"/>
      <c r="G17" s="192"/>
      <c r="H17" s="192"/>
      <c r="J17" s="192"/>
      <c r="K17" s="193"/>
      <c r="P17" s="194" t="str">
        <f t="shared" ref="P17:P42" si="3">IF(L17*M17*N17/10000&gt;0,L17*M17*N17/10000,"")</f>
        <v/>
      </c>
      <c r="Q17" s="192"/>
      <c r="R17" s="201"/>
      <c r="S17" s="201"/>
      <c r="T17" s="201"/>
      <c r="U17" s="201"/>
      <c r="V17" s="196" t="str">
        <f t="shared" si="0"/>
        <v/>
      </c>
      <c r="W17" s="202"/>
      <c r="Z17" s="203"/>
      <c r="AA17" s="196" t="str">
        <f t="shared" ref="AA17:AA31" si="4">IF(Z17&gt;0,Z17*Z17*(X17*0.22822+1.2),"")</f>
        <v/>
      </c>
      <c r="AB17" s="196" t="str">
        <f t="shared" ref="AB17:AB31" si="5">IF(Y17&gt;0,X17*10/Y17,"")</f>
        <v/>
      </c>
      <c r="AC17" s="200" t="str">
        <f t="shared" ref="AC17:AC31" si="6">IF(W17&gt;0,W17/M17/N17/L17*10000,"")</f>
        <v/>
      </c>
      <c r="AD17" s="200" t="str">
        <f t="shared" ref="AD17:AD31" si="7">IF(W17&gt;0,W17/L17,"")</f>
        <v/>
      </c>
      <c r="AF17" s="190"/>
      <c r="AG17" s="190"/>
      <c r="AH17" s="75" t="str">
        <f t="shared" ref="AH17:AH42" si="8">IF(Z17&lt;&gt;"",IF(AA17&gt;270,"overmoden",IF(AA17&lt;200,"umoden","moden")),"")</f>
        <v/>
      </c>
      <c r="AI17" s="75" t="str">
        <f t="shared" ref="AI17:AI42" si="9">IF(Y17&lt;&gt;"",IF(AB17&gt;74.5,"moden","umoden"),"")</f>
        <v/>
      </c>
      <c r="AJ17" s="190"/>
      <c r="AK17" s="190"/>
      <c r="AL17" s="261" t="str">
        <f>IF($AL$16&lt;&gt;"","e","")</f>
        <v/>
      </c>
      <c r="AM17" s="268" t="str">
        <f t="shared" ref="AM17:AM42" si="10">IF($C$4&lt;&gt;"","GB",IF($C$5&lt;&gt;"","B",IF($C$6&lt;&gt;"","SØ",IF($C$7&lt;&gt;"","Ø",IF($C$8&lt;&gt;"","GD",IF($C$9&lt;&gt;"","IK",IF($C$10&lt;&gt;"","IP","K")))))))</f>
        <v>K</v>
      </c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</row>
    <row r="18" spans="1:244" s="190" customFormat="1" ht="11.25" x14ac:dyDescent="0.2">
      <c r="A18" s="138"/>
      <c r="B18" s="143"/>
      <c r="C18" s="138"/>
      <c r="D18" s="191">
        <f t="shared" si="1"/>
        <v>0</v>
      </c>
      <c r="E18" s="191">
        <f t="shared" si="2"/>
        <v>0</v>
      </c>
      <c r="F18" s="192"/>
      <c r="G18" s="192"/>
      <c r="H18" s="192"/>
      <c r="I18" s="138"/>
      <c r="J18" s="192"/>
      <c r="K18" s="193"/>
      <c r="L18" s="138"/>
      <c r="M18" s="138"/>
      <c r="N18" s="138"/>
      <c r="O18" s="138"/>
      <c r="P18" s="194" t="str">
        <f t="shared" si="3"/>
        <v/>
      </c>
      <c r="Q18" s="192"/>
      <c r="R18" s="201"/>
      <c r="S18" s="201"/>
      <c r="T18" s="201"/>
      <c r="U18" s="201"/>
      <c r="V18" s="196" t="str">
        <f t="shared" si="0"/>
        <v/>
      </c>
      <c r="W18" s="202"/>
      <c r="X18" s="138"/>
      <c r="Y18" s="138"/>
      <c r="Z18" s="203"/>
      <c r="AA18" s="196" t="str">
        <f t="shared" si="4"/>
        <v/>
      </c>
      <c r="AB18" s="196" t="str">
        <f t="shared" si="5"/>
        <v/>
      </c>
      <c r="AC18" s="200" t="str">
        <f t="shared" si="6"/>
        <v/>
      </c>
      <c r="AD18" s="200" t="str">
        <f t="shared" si="7"/>
        <v/>
      </c>
      <c r="AE18" s="138"/>
      <c r="AH18" s="75" t="str">
        <f t="shared" si="8"/>
        <v/>
      </c>
      <c r="AI18" s="75" t="str">
        <f t="shared" si="9"/>
        <v/>
      </c>
      <c r="AL18" s="261" t="str">
        <f t="shared" ref="AL18:AL42" si="11">IF($AL$16&lt;&gt;"","e","")</f>
        <v/>
      </c>
      <c r="AM18" s="268" t="str">
        <f t="shared" si="10"/>
        <v>K</v>
      </c>
    </row>
    <row r="19" spans="1:244" s="190" customFormat="1" ht="11.25" x14ac:dyDescent="0.2">
      <c r="A19" s="138"/>
      <c r="B19" s="143"/>
      <c r="C19" s="138"/>
      <c r="D19" s="191">
        <f t="shared" si="1"/>
        <v>0</v>
      </c>
      <c r="E19" s="191">
        <f t="shared" si="2"/>
        <v>0</v>
      </c>
      <c r="F19" s="192"/>
      <c r="G19" s="192"/>
      <c r="H19" s="192"/>
      <c r="I19" s="138"/>
      <c r="J19" s="192"/>
      <c r="K19" s="193"/>
      <c r="L19" s="138"/>
      <c r="M19" s="138"/>
      <c r="N19" s="138"/>
      <c r="O19" s="138"/>
      <c r="P19" s="194" t="str">
        <f t="shared" si="3"/>
        <v/>
      </c>
      <c r="Q19" s="192"/>
      <c r="R19" s="204"/>
      <c r="S19" s="204"/>
      <c r="T19" s="204"/>
      <c r="U19" s="204"/>
      <c r="V19" s="196" t="str">
        <f t="shared" si="0"/>
        <v/>
      </c>
      <c r="W19" s="205"/>
      <c r="X19" s="205"/>
      <c r="Y19" s="206"/>
      <c r="Z19" s="207"/>
      <c r="AA19" s="196" t="str">
        <f t="shared" si="4"/>
        <v/>
      </c>
      <c r="AB19" s="196" t="str">
        <f t="shared" si="5"/>
        <v/>
      </c>
      <c r="AC19" s="200" t="str">
        <f t="shared" si="6"/>
        <v/>
      </c>
      <c r="AD19" s="200" t="str">
        <f t="shared" si="7"/>
        <v/>
      </c>
      <c r="AE19" s="138"/>
      <c r="AH19" s="75" t="str">
        <f t="shared" si="8"/>
        <v/>
      </c>
      <c r="AI19" s="75" t="str">
        <f t="shared" si="9"/>
        <v/>
      </c>
      <c r="AL19" s="261" t="str">
        <f t="shared" si="11"/>
        <v/>
      </c>
      <c r="AM19" s="268" t="str">
        <f t="shared" si="10"/>
        <v>K</v>
      </c>
    </row>
    <row r="20" spans="1:244" s="190" customFormat="1" ht="11.25" x14ac:dyDescent="0.2">
      <c r="A20" s="138"/>
      <c r="B20" s="143"/>
      <c r="C20" s="138"/>
      <c r="D20" s="191">
        <f t="shared" si="1"/>
        <v>0</v>
      </c>
      <c r="E20" s="191">
        <f t="shared" si="2"/>
        <v>0</v>
      </c>
      <c r="F20" s="192"/>
      <c r="G20" s="192"/>
      <c r="H20" s="192"/>
      <c r="I20" s="138"/>
      <c r="J20" s="192"/>
      <c r="K20" s="193"/>
      <c r="L20" s="138"/>
      <c r="M20" s="138"/>
      <c r="N20" s="138"/>
      <c r="O20" s="138"/>
      <c r="P20" s="194" t="str">
        <f t="shared" si="3"/>
        <v/>
      </c>
      <c r="Q20" s="192"/>
      <c r="R20" s="201"/>
      <c r="S20" s="201"/>
      <c r="T20" s="201"/>
      <c r="U20" s="201"/>
      <c r="V20" s="196" t="str">
        <f t="shared" si="0"/>
        <v/>
      </c>
      <c r="W20" s="202"/>
      <c r="X20" s="138"/>
      <c r="Y20" s="138"/>
      <c r="Z20" s="203"/>
      <c r="AA20" s="196" t="str">
        <f t="shared" si="4"/>
        <v/>
      </c>
      <c r="AB20" s="196" t="str">
        <f t="shared" si="5"/>
        <v/>
      </c>
      <c r="AC20" s="200" t="str">
        <f t="shared" si="6"/>
        <v/>
      </c>
      <c r="AD20" s="200" t="str">
        <f t="shared" si="7"/>
        <v/>
      </c>
      <c r="AE20" s="138"/>
      <c r="AH20" s="75" t="str">
        <f t="shared" si="8"/>
        <v/>
      </c>
      <c r="AI20" s="75" t="str">
        <f t="shared" si="9"/>
        <v/>
      </c>
      <c r="AL20" s="261" t="str">
        <f t="shared" si="11"/>
        <v/>
      </c>
      <c r="AM20" s="268" t="str">
        <f t="shared" si="10"/>
        <v>K</v>
      </c>
    </row>
    <row r="21" spans="1:244" s="190" customFormat="1" ht="11.25" x14ac:dyDescent="0.2">
      <c r="B21" s="208"/>
      <c r="D21" s="191">
        <f t="shared" si="1"/>
        <v>0</v>
      </c>
      <c r="E21" s="191">
        <f t="shared" si="2"/>
        <v>0</v>
      </c>
      <c r="F21" s="209"/>
      <c r="G21" s="209"/>
      <c r="H21" s="209"/>
      <c r="J21" s="209"/>
      <c r="K21" s="210"/>
      <c r="P21" s="194" t="str">
        <f t="shared" si="3"/>
        <v/>
      </c>
      <c r="Q21" s="209"/>
      <c r="R21" s="211"/>
      <c r="S21" s="211"/>
      <c r="T21" s="201"/>
      <c r="U21" s="211"/>
      <c r="V21" s="196" t="str">
        <f t="shared" si="0"/>
        <v/>
      </c>
      <c r="W21" s="212"/>
      <c r="AA21" s="196" t="str">
        <f t="shared" si="4"/>
        <v/>
      </c>
      <c r="AB21" s="196" t="str">
        <f t="shared" si="5"/>
        <v/>
      </c>
      <c r="AC21" s="200" t="str">
        <f t="shared" si="6"/>
        <v/>
      </c>
      <c r="AD21" s="200" t="str">
        <f t="shared" si="7"/>
        <v/>
      </c>
      <c r="AH21" s="75" t="str">
        <f t="shared" si="8"/>
        <v/>
      </c>
      <c r="AI21" s="75" t="str">
        <f t="shared" si="9"/>
        <v/>
      </c>
      <c r="AL21" s="261" t="str">
        <f t="shared" si="11"/>
        <v/>
      </c>
      <c r="AM21" s="268" t="str">
        <f t="shared" si="10"/>
        <v>K</v>
      </c>
    </row>
    <row r="22" spans="1:244" s="190" customFormat="1" ht="11.25" x14ac:dyDescent="0.2">
      <c r="B22" s="208"/>
      <c r="D22" s="191">
        <f t="shared" si="1"/>
        <v>0</v>
      </c>
      <c r="E22" s="191">
        <f t="shared" si="2"/>
        <v>0</v>
      </c>
      <c r="F22" s="209"/>
      <c r="G22" s="209"/>
      <c r="H22" s="209"/>
      <c r="J22" s="209"/>
      <c r="K22" s="213"/>
      <c r="P22" s="194" t="str">
        <f t="shared" si="3"/>
        <v/>
      </c>
      <c r="Q22" s="209"/>
      <c r="R22" s="211"/>
      <c r="S22" s="211"/>
      <c r="T22" s="201"/>
      <c r="U22" s="211"/>
      <c r="V22" s="196" t="str">
        <f t="shared" si="0"/>
        <v/>
      </c>
      <c r="W22" s="214"/>
      <c r="AA22" s="196" t="str">
        <f t="shared" si="4"/>
        <v/>
      </c>
      <c r="AB22" s="196" t="str">
        <f t="shared" si="5"/>
        <v/>
      </c>
      <c r="AC22" s="200" t="str">
        <f t="shared" si="6"/>
        <v/>
      </c>
      <c r="AD22" s="200" t="str">
        <f t="shared" si="7"/>
        <v/>
      </c>
      <c r="AH22" s="75" t="str">
        <f t="shared" si="8"/>
        <v/>
      </c>
      <c r="AI22" s="75" t="str">
        <f t="shared" si="9"/>
        <v/>
      </c>
      <c r="AL22" s="261" t="str">
        <f t="shared" si="11"/>
        <v/>
      </c>
      <c r="AM22" s="268" t="str">
        <f t="shared" si="10"/>
        <v>K</v>
      </c>
    </row>
    <row r="23" spans="1:244" s="190" customFormat="1" ht="11.25" x14ac:dyDescent="0.2">
      <c r="B23" s="208"/>
      <c r="D23" s="191">
        <f t="shared" si="1"/>
        <v>0</v>
      </c>
      <c r="E23" s="191">
        <f t="shared" si="2"/>
        <v>0</v>
      </c>
      <c r="F23" s="209"/>
      <c r="G23" s="209"/>
      <c r="H23" s="209"/>
      <c r="J23" s="209"/>
      <c r="K23" s="213"/>
      <c r="P23" s="194" t="str">
        <f t="shared" si="3"/>
        <v/>
      </c>
      <c r="Q23" s="209"/>
      <c r="R23" s="211"/>
      <c r="S23" s="211"/>
      <c r="T23" s="201"/>
      <c r="U23" s="211"/>
      <c r="V23" s="196" t="str">
        <f t="shared" si="0"/>
        <v/>
      </c>
      <c r="W23" s="214"/>
      <c r="AA23" s="196" t="str">
        <f t="shared" si="4"/>
        <v/>
      </c>
      <c r="AB23" s="196" t="str">
        <f t="shared" si="5"/>
        <v/>
      </c>
      <c r="AC23" s="200" t="str">
        <f t="shared" si="6"/>
        <v/>
      </c>
      <c r="AD23" s="200" t="str">
        <f t="shared" si="7"/>
        <v/>
      </c>
      <c r="AH23" s="75" t="str">
        <f t="shared" si="8"/>
        <v/>
      </c>
      <c r="AI23" s="75" t="str">
        <f t="shared" si="9"/>
        <v/>
      </c>
      <c r="AL23" s="261" t="str">
        <f t="shared" si="11"/>
        <v/>
      </c>
      <c r="AM23" s="268" t="str">
        <f t="shared" si="10"/>
        <v>K</v>
      </c>
    </row>
    <row r="24" spans="1:244" s="190" customFormat="1" ht="11.25" x14ac:dyDescent="0.2">
      <c r="B24" s="208"/>
      <c r="D24" s="191">
        <f t="shared" si="1"/>
        <v>0</v>
      </c>
      <c r="E24" s="191">
        <f t="shared" si="2"/>
        <v>0</v>
      </c>
      <c r="F24" s="209"/>
      <c r="G24" s="209"/>
      <c r="H24" s="209"/>
      <c r="J24" s="209"/>
      <c r="K24" s="213"/>
      <c r="P24" s="194" t="str">
        <f t="shared" si="3"/>
        <v/>
      </c>
      <c r="Q24" s="209"/>
      <c r="R24" s="211"/>
      <c r="S24" s="211"/>
      <c r="T24" s="201"/>
      <c r="U24" s="211"/>
      <c r="V24" s="196" t="str">
        <f t="shared" si="0"/>
        <v/>
      </c>
      <c r="W24" s="214"/>
      <c r="AA24" s="196" t="str">
        <f t="shared" si="4"/>
        <v/>
      </c>
      <c r="AB24" s="196" t="str">
        <f t="shared" si="5"/>
        <v/>
      </c>
      <c r="AC24" s="200" t="str">
        <f t="shared" si="6"/>
        <v/>
      </c>
      <c r="AD24" s="200" t="str">
        <f t="shared" si="7"/>
        <v/>
      </c>
      <c r="AH24" s="75" t="str">
        <f t="shared" si="8"/>
        <v/>
      </c>
      <c r="AI24" s="75" t="str">
        <f t="shared" si="9"/>
        <v/>
      </c>
      <c r="AL24" s="261" t="str">
        <f t="shared" si="11"/>
        <v/>
      </c>
      <c r="AM24" s="268" t="str">
        <f t="shared" si="10"/>
        <v>K</v>
      </c>
    </row>
    <row r="25" spans="1:244" s="190" customFormat="1" ht="11.25" x14ac:dyDescent="0.2">
      <c r="B25" s="208"/>
      <c r="D25" s="191">
        <f t="shared" si="1"/>
        <v>0</v>
      </c>
      <c r="E25" s="191">
        <f t="shared" si="2"/>
        <v>0</v>
      </c>
      <c r="F25" s="209"/>
      <c r="G25" s="209"/>
      <c r="H25" s="209"/>
      <c r="J25" s="209"/>
      <c r="K25" s="213"/>
      <c r="P25" s="194" t="str">
        <f t="shared" si="3"/>
        <v/>
      </c>
      <c r="Q25" s="209"/>
      <c r="R25" s="211"/>
      <c r="S25" s="211"/>
      <c r="T25" s="201"/>
      <c r="U25" s="211"/>
      <c r="V25" s="196" t="str">
        <f t="shared" si="0"/>
        <v/>
      </c>
      <c r="W25" s="214"/>
      <c r="AA25" s="196" t="str">
        <f>IF(Z25&gt;0,Z25*Z25*(X25*0.22822+1.2),"")</f>
        <v/>
      </c>
      <c r="AB25" s="196" t="str">
        <f>IF(Y25&gt;0,X25*10/Y25,"")</f>
        <v/>
      </c>
      <c r="AC25" s="200" t="str">
        <f>IF(W25&gt;0,W25/M25/N25/L25*10000,"")</f>
        <v/>
      </c>
      <c r="AD25" s="200" t="str">
        <f>IF(W25&gt;0,W25/L25,"")</f>
        <v/>
      </c>
      <c r="AH25" s="75" t="str">
        <f t="shared" si="8"/>
        <v/>
      </c>
      <c r="AI25" s="75" t="str">
        <f t="shared" si="9"/>
        <v/>
      </c>
      <c r="AL25" s="261" t="str">
        <f t="shared" si="11"/>
        <v/>
      </c>
      <c r="AM25" s="268" t="str">
        <f t="shared" si="10"/>
        <v>K</v>
      </c>
    </row>
    <row r="26" spans="1:244" s="190" customFormat="1" ht="11.25" x14ac:dyDescent="0.2">
      <c r="B26" s="208"/>
      <c r="D26" s="191">
        <f t="shared" si="1"/>
        <v>0</v>
      </c>
      <c r="E26" s="191">
        <f t="shared" si="2"/>
        <v>0</v>
      </c>
      <c r="F26" s="209"/>
      <c r="G26" s="209"/>
      <c r="H26" s="209"/>
      <c r="J26" s="209"/>
      <c r="K26" s="213"/>
      <c r="P26" s="194" t="str">
        <f t="shared" si="3"/>
        <v/>
      </c>
      <c r="Q26" s="209"/>
      <c r="R26" s="211"/>
      <c r="S26" s="211"/>
      <c r="T26" s="201"/>
      <c r="U26" s="211"/>
      <c r="V26" s="196" t="str">
        <f t="shared" si="0"/>
        <v/>
      </c>
      <c r="W26" s="214"/>
      <c r="AA26" s="196" t="str">
        <f>IF(Z26&gt;0,Z26*Z26*(X26*0.22822+1.2),"")</f>
        <v/>
      </c>
      <c r="AB26" s="196" t="str">
        <f>IF(Y26&gt;0,X26*10/Y26,"")</f>
        <v/>
      </c>
      <c r="AC26" s="200" t="str">
        <f>IF(W26&gt;0,W26/M26/N26/L26*10000,"")</f>
        <v/>
      </c>
      <c r="AD26" s="200" t="str">
        <f>IF(W26&gt;0,W26/L26,"")</f>
        <v/>
      </c>
      <c r="AH26" s="75" t="str">
        <f t="shared" si="8"/>
        <v/>
      </c>
      <c r="AI26" s="75" t="str">
        <f t="shared" si="9"/>
        <v/>
      </c>
      <c r="AL26" s="261" t="str">
        <f t="shared" si="11"/>
        <v/>
      </c>
      <c r="AM26" s="268" t="str">
        <f t="shared" si="10"/>
        <v>K</v>
      </c>
    </row>
    <row r="27" spans="1:244" s="190" customFormat="1" ht="11.25" x14ac:dyDescent="0.2">
      <c r="B27" s="208"/>
      <c r="D27" s="191">
        <f t="shared" si="1"/>
        <v>0</v>
      </c>
      <c r="E27" s="191">
        <f t="shared" si="2"/>
        <v>0</v>
      </c>
      <c r="F27" s="209"/>
      <c r="G27" s="209"/>
      <c r="H27" s="209"/>
      <c r="J27" s="209"/>
      <c r="K27" s="213"/>
      <c r="P27" s="194" t="str">
        <f t="shared" si="3"/>
        <v/>
      </c>
      <c r="Q27" s="209"/>
      <c r="R27" s="211"/>
      <c r="S27" s="211"/>
      <c r="T27" s="201"/>
      <c r="U27" s="211"/>
      <c r="V27" s="196" t="str">
        <f t="shared" si="0"/>
        <v/>
      </c>
      <c r="W27" s="214"/>
      <c r="AA27" s="196" t="str">
        <f t="shared" si="4"/>
        <v/>
      </c>
      <c r="AB27" s="196" t="str">
        <f t="shared" si="5"/>
        <v/>
      </c>
      <c r="AC27" s="200" t="str">
        <f t="shared" si="6"/>
        <v/>
      </c>
      <c r="AD27" s="200" t="str">
        <f t="shared" si="7"/>
        <v/>
      </c>
      <c r="AH27" s="75" t="str">
        <f t="shared" si="8"/>
        <v/>
      </c>
      <c r="AI27" s="75" t="str">
        <f t="shared" si="9"/>
        <v/>
      </c>
      <c r="AL27" s="261" t="str">
        <f t="shared" si="11"/>
        <v/>
      </c>
      <c r="AM27" s="268" t="str">
        <f t="shared" si="10"/>
        <v>K</v>
      </c>
    </row>
    <row r="28" spans="1:244" s="190" customFormat="1" ht="11.25" x14ac:dyDescent="0.2">
      <c r="B28" s="208"/>
      <c r="D28" s="191">
        <f t="shared" si="1"/>
        <v>0</v>
      </c>
      <c r="E28" s="191">
        <f t="shared" si="2"/>
        <v>0</v>
      </c>
      <c r="F28" s="209"/>
      <c r="G28" s="209"/>
      <c r="H28" s="209"/>
      <c r="J28" s="209"/>
      <c r="K28" s="213"/>
      <c r="P28" s="194" t="str">
        <f t="shared" si="3"/>
        <v/>
      </c>
      <c r="Q28" s="209"/>
      <c r="R28" s="211"/>
      <c r="S28" s="211"/>
      <c r="T28" s="201"/>
      <c r="U28" s="211"/>
      <c r="V28" s="196" t="str">
        <f t="shared" si="0"/>
        <v/>
      </c>
      <c r="W28" s="214"/>
      <c r="AA28" s="196" t="str">
        <f t="shared" si="4"/>
        <v/>
      </c>
      <c r="AB28" s="196" t="str">
        <f t="shared" si="5"/>
        <v/>
      </c>
      <c r="AC28" s="200" t="str">
        <f t="shared" si="6"/>
        <v/>
      </c>
      <c r="AD28" s="200" t="str">
        <f t="shared" si="7"/>
        <v/>
      </c>
      <c r="AH28" s="75" t="str">
        <f t="shared" si="8"/>
        <v/>
      </c>
      <c r="AI28" s="75" t="str">
        <f t="shared" si="9"/>
        <v/>
      </c>
      <c r="AL28" s="261" t="str">
        <f t="shared" si="11"/>
        <v/>
      </c>
      <c r="AM28" s="268" t="str">
        <f t="shared" si="10"/>
        <v>K</v>
      </c>
    </row>
    <row r="29" spans="1:244" s="190" customFormat="1" ht="11.25" x14ac:dyDescent="0.2">
      <c r="B29" s="208"/>
      <c r="D29" s="191">
        <f t="shared" si="1"/>
        <v>0</v>
      </c>
      <c r="E29" s="191">
        <f t="shared" si="2"/>
        <v>0</v>
      </c>
      <c r="F29" s="209"/>
      <c r="G29" s="209"/>
      <c r="H29" s="209"/>
      <c r="J29" s="209"/>
      <c r="K29" s="213"/>
      <c r="P29" s="194" t="str">
        <f t="shared" si="3"/>
        <v/>
      </c>
      <c r="Q29" s="209"/>
      <c r="R29" s="211"/>
      <c r="S29" s="211"/>
      <c r="T29" s="201"/>
      <c r="U29" s="211"/>
      <c r="V29" s="196" t="str">
        <f t="shared" si="0"/>
        <v/>
      </c>
      <c r="W29" s="214"/>
      <c r="AA29" s="196" t="str">
        <f t="shared" si="4"/>
        <v/>
      </c>
      <c r="AB29" s="196" t="str">
        <f t="shared" si="5"/>
        <v/>
      </c>
      <c r="AC29" s="200" t="str">
        <f t="shared" si="6"/>
        <v/>
      </c>
      <c r="AD29" s="200" t="str">
        <f t="shared" si="7"/>
        <v/>
      </c>
      <c r="AH29" s="75" t="str">
        <f t="shared" si="8"/>
        <v/>
      </c>
      <c r="AI29" s="75" t="str">
        <f t="shared" si="9"/>
        <v/>
      </c>
      <c r="AL29" s="261" t="str">
        <f t="shared" si="11"/>
        <v/>
      </c>
      <c r="AM29" s="268" t="str">
        <f t="shared" si="10"/>
        <v>K</v>
      </c>
    </row>
    <row r="30" spans="1:244" s="190" customFormat="1" ht="11.25" x14ac:dyDescent="0.2">
      <c r="B30" s="208"/>
      <c r="D30" s="191">
        <f t="shared" si="1"/>
        <v>0</v>
      </c>
      <c r="E30" s="191">
        <f t="shared" si="2"/>
        <v>0</v>
      </c>
      <c r="F30" s="209"/>
      <c r="G30" s="209"/>
      <c r="H30" s="209"/>
      <c r="J30" s="209"/>
      <c r="K30" s="213"/>
      <c r="P30" s="194" t="str">
        <f t="shared" si="3"/>
        <v/>
      </c>
      <c r="Q30" s="209"/>
      <c r="R30" s="211"/>
      <c r="S30" s="211"/>
      <c r="T30" s="201"/>
      <c r="U30" s="211"/>
      <c r="V30" s="196" t="str">
        <f t="shared" si="0"/>
        <v/>
      </c>
      <c r="W30" s="214"/>
      <c r="AA30" s="196" t="str">
        <f t="shared" si="4"/>
        <v/>
      </c>
      <c r="AB30" s="196" t="str">
        <f t="shared" si="5"/>
        <v/>
      </c>
      <c r="AC30" s="200" t="str">
        <f t="shared" si="6"/>
        <v/>
      </c>
      <c r="AD30" s="200" t="str">
        <f t="shared" si="7"/>
        <v/>
      </c>
      <c r="AH30" s="75" t="str">
        <f t="shared" si="8"/>
        <v/>
      </c>
      <c r="AI30" s="75" t="str">
        <f t="shared" si="9"/>
        <v/>
      </c>
      <c r="AL30" s="261" t="str">
        <f t="shared" si="11"/>
        <v/>
      </c>
      <c r="AM30" s="268" t="str">
        <f t="shared" si="10"/>
        <v>K</v>
      </c>
    </row>
    <row r="31" spans="1:244" s="190" customFormat="1" ht="11.25" x14ac:dyDescent="0.2">
      <c r="B31" s="208"/>
      <c r="D31" s="191">
        <f t="shared" si="1"/>
        <v>0</v>
      </c>
      <c r="E31" s="191">
        <f t="shared" si="2"/>
        <v>0</v>
      </c>
      <c r="F31" s="209"/>
      <c r="G31" s="209"/>
      <c r="H31" s="209"/>
      <c r="J31" s="209"/>
      <c r="K31" s="213"/>
      <c r="P31" s="194" t="str">
        <f t="shared" si="3"/>
        <v/>
      </c>
      <c r="Q31" s="209"/>
      <c r="R31" s="211"/>
      <c r="S31" s="211"/>
      <c r="T31" s="201"/>
      <c r="U31" s="211"/>
      <c r="V31" s="196" t="str">
        <f t="shared" si="0"/>
        <v/>
      </c>
      <c r="W31" s="214"/>
      <c r="AA31" s="196" t="str">
        <f t="shared" si="4"/>
        <v/>
      </c>
      <c r="AB31" s="196" t="str">
        <f t="shared" si="5"/>
        <v/>
      </c>
      <c r="AC31" s="200" t="str">
        <f t="shared" si="6"/>
        <v/>
      </c>
      <c r="AD31" s="200" t="str">
        <f t="shared" si="7"/>
        <v/>
      </c>
      <c r="AH31" s="75" t="str">
        <f t="shared" si="8"/>
        <v/>
      </c>
      <c r="AI31" s="75" t="str">
        <f t="shared" si="9"/>
        <v/>
      </c>
      <c r="AL31" s="261" t="str">
        <f t="shared" si="11"/>
        <v/>
      </c>
      <c r="AM31" s="268" t="str">
        <f t="shared" si="10"/>
        <v>K</v>
      </c>
    </row>
    <row r="32" spans="1:244" s="190" customFormat="1" ht="11.25" x14ac:dyDescent="0.2">
      <c r="B32" s="208"/>
      <c r="D32" s="191">
        <f t="shared" ref="D32:D42" si="12">T$3</f>
        <v>0</v>
      </c>
      <c r="E32" s="191">
        <f t="shared" si="2"/>
        <v>0</v>
      </c>
      <c r="F32" s="209"/>
      <c r="G32" s="209"/>
      <c r="H32" s="209"/>
      <c r="J32" s="209"/>
      <c r="K32" s="213"/>
      <c r="P32" s="194"/>
      <c r="Q32" s="209"/>
      <c r="R32" s="211"/>
      <c r="S32" s="211"/>
      <c r="T32" s="201"/>
      <c r="U32" s="211"/>
      <c r="V32" s="196"/>
      <c r="W32" s="214"/>
      <c r="AA32" s="196" t="str">
        <f t="shared" ref="AA32:AA42" si="13">IF(Z32&gt;0,Z32*Z32*(X32*0.22822+1.2),"")</f>
        <v/>
      </c>
      <c r="AB32" s="196" t="str">
        <f t="shared" ref="AB32:AB42" si="14">IF(Y32&gt;0,X32*10/Y32,"")</f>
        <v/>
      </c>
      <c r="AC32" s="200" t="str">
        <f t="shared" ref="AC32:AC42" si="15">IF(W32&gt;0,W32/M32/N32/L32*10000,"")</f>
        <v/>
      </c>
      <c r="AD32" s="200" t="str">
        <f t="shared" ref="AD32:AD42" si="16">IF(W32&gt;0,W32/L32,"")</f>
        <v/>
      </c>
      <c r="AH32" s="75" t="str">
        <f t="shared" si="8"/>
        <v/>
      </c>
      <c r="AI32" s="75" t="str">
        <f t="shared" si="9"/>
        <v/>
      </c>
      <c r="AL32" s="261" t="str">
        <f t="shared" si="11"/>
        <v/>
      </c>
      <c r="AM32" s="268" t="str">
        <f t="shared" si="10"/>
        <v>K</v>
      </c>
    </row>
    <row r="33" spans="1:39" s="190" customFormat="1" ht="11.25" x14ac:dyDescent="0.2">
      <c r="B33" s="208"/>
      <c r="D33" s="191">
        <f t="shared" si="12"/>
        <v>0</v>
      </c>
      <c r="E33" s="191">
        <f t="shared" si="2"/>
        <v>0</v>
      </c>
      <c r="F33" s="209"/>
      <c r="G33" s="209"/>
      <c r="H33" s="209"/>
      <c r="J33" s="209"/>
      <c r="K33" s="213"/>
      <c r="P33" s="194"/>
      <c r="Q33" s="209"/>
      <c r="R33" s="211"/>
      <c r="S33" s="211"/>
      <c r="T33" s="201"/>
      <c r="U33" s="211"/>
      <c r="V33" s="196"/>
      <c r="W33" s="214"/>
      <c r="AA33" s="196" t="str">
        <f t="shared" si="13"/>
        <v/>
      </c>
      <c r="AB33" s="196" t="str">
        <f t="shared" si="14"/>
        <v/>
      </c>
      <c r="AC33" s="200" t="str">
        <f t="shared" si="15"/>
        <v/>
      </c>
      <c r="AD33" s="200" t="str">
        <f t="shared" si="16"/>
        <v/>
      </c>
      <c r="AH33" s="75" t="str">
        <f t="shared" si="8"/>
        <v/>
      </c>
      <c r="AI33" s="75" t="str">
        <f t="shared" si="9"/>
        <v/>
      </c>
      <c r="AL33" s="261" t="str">
        <f t="shared" si="11"/>
        <v/>
      </c>
      <c r="AM33" s="268" t="str">
        <f t="shared" si="10"/>
        <v>K</v>
      </c>
    </row>
    <row r="34" spans="1:39" s="190" customFormat="1" ht="11.25" x14ac:dyDescent="0.2">
      <c r="B34" s="208"/>
      <c r="D34" s="191">
        <f t="shared" si="12"/>
        <v>0</v>
      </c>
      <c r="E34" s="191">
        <f t="shared" si="2"/>
        <v>0</v>
      </c>
      <c r="F34" s="209"/>
      <c r="G34" s="209"/>
      <c r="H34" s="209"/>
      <c r="J34" s="209"/>
      <c r="K34" s="213"/>
      <c r="P34" s="194"/>
      <c r="Q34" s="209"/>
      <c r="R34" s="211"/>
      <c r="S34" s="211"/>
      <c r="T34" s="201"/>
      <c r="U34" s="211"/>
      <c r="V34" s="196"/>
      <c r="W34" s="214"/>
      <c r="AA34" s="196" t="str">
        <f t="shared" si="13"/>
        <v/>
      </c>
      <c r="AB34" s="196" t="str">
        <f t="shared" si="14"/>
        <v/>
      </c>
      <c r="AC34" s="200" t="str">
        <f t="shared" si="15"/>
        <v/>
      </c>
      <c r="AD34" s="200" t="str">
        <f t="shared" si="16"/>
        <v/>
      </c>
      <c r="AH34" s="75" t="str">
        <f t="shared" si="8"/>
        <v/>
      </c>
      <c r="AI34" s="75" t="str">
        <f t="shared" si="9"/>
        <v/>
      </c>
      <c r="AL34" s="261" t="str">
        <f t="shared" si="11"/>
        <v/>
      </c>
      <c r="AM34" s="268" t="str">
        <f t="shared" si="10"/>
        <v>K</v>
      </c>
    </row>
    <row r="35" spans="1:39" s="190" customFormat="1" ht="11.25" x14ac:dyDescent="0.2">
      <c r="B35" s="208"/>
      <c r="D35" s="191">
        <f t="shared" si="12"/>
        <v>0</v>
      </c>
      <c r="E35" s="191">
        <f t="shared" si="2"/>
        <v>0</v>
      </c>
      <c r="F35" s="209"/>
      <c r="G35" s="209"/>
      <c r="H35" s="209"/>
      <c r="J35" s="209"/>
      <c r="K35" s="213"/>
      <c r="P35" s="194"/>
      <c r="Q35" s="209"/>
      <c r="R35" s="211"/>
      <c r="S35" s="211"/>
      <c r="T35" s="201"/>
      <c r="U35" s="211"/>
      <c r="V35" s="196"/>
      <c r="W35" s="214"/>
      <c r="AA35" s="196" t="str">
        <f t="shared" si="13"/>
        <v/>
      </c>
      <c r="AB35" s="196" t="str">
        <f t="shared" si="14"/>
        <v/>
      </c>
      <c r="AC35" s="200" t="str">
        <f t="shared" si="15"/>
        <v/>
      </c>
      <c r="AD35" s="200" t="str">
        <f t="shared" si="16"/>
        <v/>
      </c>
      <c r="AH35" s="75" t="str">
        <f t="shared" si="8"/>
        <v/>
      </c>
      <c r="AI35" s="75" t="str">
        <f t="shared" si="9"/>
        <v/>
      </c>
      <c r="AL35" s="261" t="str">
        <f t="shared" si="11"/>
        <v/>
      </c>
      <c r="AM35" s="268" t="str">
        <f t="shared" si="10"/>
        <v>K</v>
      </c>
    </row>
    <row r="36" spans="1:39" s="190" customFormat="1" ht="11.25" x14ac:dyDescent="0.2">
      <c r="B36" s="208"/>
      <c r="D36" s="191">
        <f t="shared" si="12"/>
        <v>0</v>
      </c>
      <c r="E36" s="191">
        <f t="shared" si="2"/>
        <v>0</v>
      </c>
      <c r="F36" s="209"/>
      <c r="G36" s="209"/>
      <c r="H36" s="209"/>
      <c r="J36" s="209"/>
      <c r="K36" s="213"/>
      <c r="P36" s="194"/>
      <c r="Q36" s="209"/>
      <c r="R36" s="211"/>
      <c r="S36" s="211"/>
      <c r="T36" s="201"/>
      <c r="U36" s="211"/>
      <c r="V36" s="196"/>
      <c r="W36" s="214"/>
      <c r="AA36" s="196" t="str">
        <f t="shared" si="13"/>
        <v/>
      </c>
      <c r="AB36" s="196" t="str">
        <f t="shared" si="14"/>
        <v/>
      </c>
      <c r="AC36" s="200" t="str">
        <f t="shared" si="15"/>
        <v/>
      </c>
      <c r="AD36" s="200" t="str">
        <f t="shared" si="16"/>
        <v/>
      </c>
      <c r="AH36" s="75" t="str">
        <f t="shared" si="8"/>
        <v/>
      </c>
      <c r="AI36" s="75" t="str">
        <f t="shared" si="9"/>
        <v/>
      </c>
      <c r="AL36" s="261" t="str">
        <f t="shared" si="11"/>
        <v/>
      </c>
      <c r="AM36" s="268" t="str">
        <f t="shared" si="10"/>
        <v>K</v>
      </c>
    </row>
    <row r="37" spans="1:39" s="190" customFormat="1" ht="11.25" x14ac:dyDescent="0.2">
      <c r="B37" s="208"/>
      <c r="D37" s="191">
        <f t="shared" si="12"/>
        <v>0</v>
      </c>
      <c r="E37" s="191">
        <f t="shared" si="2"/>
        <v>0</v>
      </c>
      <c r="F37" s="209"/>
      <c r="G37" s="209"/>
      <c r="H37" s="209"/>
      <c r="J37" s="209"/>
      <c r="K37" s="213"/>
      <c r="P37" s="194"/>
      <c r="Q37" s="209"/>
      <c r="R37" s="211"/>
      <c r="S37" s="211"/>
      <c r="T37" s="201"/>
      <c r="U37" s="211"/>
      <c r="V37" s="196"/>
      <c r="W37" s="214"/>
      <c r="AA37" s="196" t="str">
        <f t="shared" si="13"/>
        <v/>
      </c>
      <c r="AB37" s="196" t="str">
        <f t="shared" si="14"/>
        <v/>
      </c>
      <c r="AC37" s="200" t="str">
        <f t="shared" si="15"/>
        <v/>
      </c>
      <c r="AD37" s="200" t="str">
        <f t="shared" si="16"/>
        <v/>
      </c>
      <c r="AH37" s="75" t="str">
        <f t="shared" si="8"/>
        <v/>
      </c>
      <c r="AI37" s="75" t="str">
        <f t="shared" si="9"/>
        <v/>
      </c>
      <c r="AL37" s="261" t="str">
        <f t="shared" si="11"/>
        <v/>
      </c>
      <c r="AM37" s="268" t="str">
        <f t="shared" si="10"/>
        <v>K</v>
      </c>
    </row>
    <row r="38" spans="1:39" s="190" customFormat="1" ht="11.25" x14ac:dyDescent="0.2">
      <c r="B38" s="208"/>
      <c r="D38" s="191">
        <f t="shared" si="12"/>
        <v>0</v>
      </c>
      <c r="E38" s="191">
        <f t="shared" si="2"/>
        <v>0</v>
      </c>
      <c r="F38" s="209"/>
      <c r="G38" s="209"/>
      <c r="H38" s="209"/>
      <c r="J38" s="209"/>
      <c r="K38" s="213"/>
      <c r="P38" s="194"/>
      <c r="Q38" s="209"/>
      <c r="R38" s="211"/>
      <c r="S38" s="211"/>
      <c r="T38" s="201"/>
      <c r="U38" s="211"/>
      <c r="V38" s="196"/>
      <c r="W38" s="214"/>
      <c r="AA38" s="196" t="str">
        <f t="shared" si="13"/>
        <v/>
      </c>
      <c r="AB38" s="196" t="str">
        <f t="shared" si="14"/>
        <v/>
      </c>
      <c r="AC38" s="200" t="str">
        <f t="shared" si="15"/>
        <v/>
      </c>
      <c r="AD38" s="200" t="str">
        <f t="shared" si="16"/>
        <v/>
      </c>
      <c r="AH38" s="75" t="str">
        <f t="shared" si="8"/>
        <v/>
      </c>
      <c r="AI38" s="75" t="str">
        <f t="shared" si="9"/>
        <v/>
      </c>
      <c r="AL38" s="261" t="str">
        <f t="shared" si="11"/>
        <v/>
      </c>
      <c r="AM38" s="268" t="str">
        <f t="shared" si="10"/>
        <v>K</v>
      </c>
    </row>
    <row r="39" spans="1:39" s="190" customFormat="1" ht="11.25" x14ac:dyDescent="0.2">
      <c r="B39" s="208"/>
      <c r="D39" s="191">
        <f t="shared" si="12"/>
        <v>0</v>
      </c>
      <c r="E39" s="191">
        <f t="shared" si="2"/>
        <v>0</v>
      </c>
      <c r="F39" s="209"/>
      <c r="G39" s="209"/>
      <c r="H39" s="209"/>
      <c r="J39" s="209"/>
      <c r="K39" s="213"/>
      <c r="P39" s="194"/>
      <c r="Q39" s="209"/>
      <c r="R39" s="211"/>
      <c r="S39" s="211"/>
      <c r="T39" s="201"/>
      <c r="U39" s="211"/>
      <c r="V39" s="196"/>
      <c r="W39" s="214"/>
      <c r="AA39" s="196" t="str">
        <f t="shared" si="13"/>
        <v/>
      </c>
      <c r="AB39" s="196" t="str">
        <f t="shared" si="14"/>
        <v/>
      </c>
      <c r="AC39" s="200" t="str">
        <f t="shared" si="15"/>
        <v/>
      </c>
      <c r="AD39" s="200" t="str">
        <f t="shared" si="16"/>
        <v/>
      </c>
      <c r="AH39" s="75" t="str">
        <f t="shared" si="8"/>
        <v/>
      </c>
      <c r="AI39" s="75" t="str">
        <f t="shared" si="9"/>
        <v/>
      </c>
      <c r="AL39" s="261" t="str">
        <f t="shared" si="11"/>
        <v/>
      </c>
      <c r="AM39" s="268" t="str">
        <f t="shared" si="10"/>
        <v>K</v>
      </c>
    </row>
    <row r="40" spans="1:39" s="190" customFormat="1" ht="11.25" x14ac:dyDescent="0.2">
      <c r="B40" s="208"/>
      <c r="D40" s="191">
        <f t="shared" si="12"/>
        <v>0</v>
      </c>
      <c r="E40" s="191">
        <f t="shared" si="2"/>
        <v>0</v>
      </c>
      <c r="F40" s="209"/>
      <c r="G40" s="209"/>
      <c r="H40" s="209"/>
      <c r="J40" s="209"/>
      <c r="K40" s="213"/>
      <c r="P40" s="194"/>
      <c r="Q40" s="209"/>
      <c r="R40" s="211"/>
      <c r="S40" s="211"/>
      <c r="T40" s="201"/>
      <c r="U40" s="211"/>
      <c r="V40" s="196"/>
      <c r="W40" s="214"/>
      <c r="AA40" s="196" t="str">
        <f t="shared" si="13"/>
        <v/>
      </c>
      <c r="AB40" s="196" t="str">
        <f t="shared" si="14"/>
        <v/>
      </c>
      <c r="AC40" s="200" t="str">
        <f t="shared" si="15"/>
        <v/>
      </c>
      <c r="AD40" s="200" t="str">
        <f t="shared" si="16"/>
        <v/>
      </c>
      <c r="AH40" s="75" t="str">
        <f t="shared" si="8"/>
        <v/>
      </c>
      <c r="AI40" s="75" t="str">
        <f t="shared" si="9"/>
        <v/>
      </c>
      <c r="AL40" s="261" t="str">
        <f t="shared" si="11"/>
        <v/>
      </c>
      <c r="AM40" s="268" t="str">
        <f t="shared" si="10"/>
        <v>K</v>
      </c>
    </row>
    <row r="41" spans="1:39" s="190" customFormat="1" ht="11.25" x14ac:dyDescent="0.2">
      <c r="B41" s="208"/>
      <c r="D41" s="191">
        <f t="shared" si="12"/>
        <v>0</v>
      </c>
      <c r="E41" s="191">
        <f t="shared" si="2"/>
        <v>0</v>
      </c>
      <c r="F41" s="209"/>
      <c r="G41" s="209"/>
      <c r="H41" s="209"/>
      <c r="J41" s="209"/>
      <c r="K41" s="213"/>
      <c r="P41" s="194" t="str">
        <f t="shared" si="3"/>
        <v/>
      </c>
      <c r="Q41" s="209"/>
      <c r="R41" s="211"/>
      <c r="S41" s="211"/>
      <c r="T41" s="201"/>
      <c r="U41" s="211"/>
      <c r="V41" s="196" t="str">
        <f t="shared" si="0"/>
        <v/>
      </c>
      <c r="W41" s="214"/>
      <c r="AA41" s="196" t="str">
        <f t="shared" si="13"/>
        <v/>
      </c>
      <c r="AB41" s="196" t="str">
        <f t="shared" si="14"/>
        <v/>
      </c>
      <c r="AC41" s="200" t="str">
        <f t="shared" si="15"/>
        <v/>
      </c>
      <c r="AD41" s="200" t="str">
        <f t="shared" si="16"/>
        <v/>
      </c>
      <c r="AH41" s="75" t="str">
        <f t="shared" si="8"/>
        <v/>
      </c>
      <c r="AI41" s="75" t="str">
        <f t="shared" si="9"/>
        <v/>
      </c>
      <c r="AL41" s="261" t="str">
        <f t="shared" si="11"/>
        <v/>
      </c>
      <c r="AM41" s="268" t="str">
        <f t="shared" si="10"/>
        <v>K</v>
      </c>
    </row>
    <row r="42" spans="1:39" s="190" customFormat="1" ht="11.25" x14ac:dyDescent="0.2">
      <c r="B42" s="208"/>
      <c r="D42" s="191">
        <f t="shared" si="12"/>
        <v>0</v>
      </c>
      <c r="E42" s="191">
        <f t="shared" si="2"/>
        <v>0</v>
      </c>
      <c r="F42" s="209"/>
      <c r="G42" s="209"/>
      <c r="H42" s="209"/>
      <c r="J42" s="209"/>
      <c r="K42" s="213"/>
      <c r="P42" s="194" t="str">
        <f t="shared" si="3"/>
        <v/>
      </c>
      <c r="Q42" s="209"/>
      <c r="R42" s="211"/>
      <c r="S42" s="211"/>
      <c r="T42" s="201"/>
      <c r="U42" s="211"/>
      <c r="V42" s="196" t="str">
        <f t="shared" si="0"/>
        <v/>
      </c>
      <c r="W42" s="214"/>
      <c r="AA42" s="196" t="str">
        <f t="shared" si="13"/>
        <v/>
      </c>
      <c r="AB42" s="196" t="str">
        <f t="shared" si="14"/>
        <v/>
      </c>
      <c r="AC42" s="200" t="str">
        <f t="shared" si="15"/>
        <v/>
      </c>
      <c r="AD42" s="200" t="str">
        <f t="shared" si="16"/>
        <v/>
      </c>
      <c r="AH42" s="75" t="str">
        <f t="shared" si="8"/>
        <v/>
      </c>
      <c r="AI42" s="75" t="str">
        <f t="shared" si="9"/>
        <v/>
      </c>
      <c r="AL42" s="261" t="str">
        <f t="shared" si="11"/>
        <v/>
      </c>
      <c r="AM42" s="268" t="str">
        <f t="shared" si="10"/>
        <v>K</v>
      </c>
    </row>
    <row r="43" spans="1:39" s="190" customFormat="1" ht="12" thickBot="1" x14ac:dyDescent="0.25">
      <c r="B43" s="208"/>
      <c r="F43" s="209"/>
      <c r="G43" s="209"/>
      <c r="H43" s="209"/>
      <c r="J43" s="209"/>
      <c r="K43" s="213"/>
      <c r="Q43" s="209"/>
      <c r="R43" s="211"/>
      <c r="S43" s="211"/>
      <c r="T43" s="211"/>
      <c r="U43" s="211"/>
      <c r="W43" s="249">
        <f>SUM(W16:W42)</f>
        <v>0</v>
      </c>
      <c r="AM43" s="209"/>
    </row>
    <row r="44" spans="1:39" s="190" customFormat="1" ht="12" thickTop="1" x14ac:dyDescent="0.2">
      <c r="A44" s="138"/>
      <c r="B44" s="143"/>
      <c r="C44" s="250" t="s">
        <v>103</v>
      </c>
      <c r="F44" s="209"/>
      <c r="G44" s="209"/>
      <c r="H44" s="209"/>
      <c r="J44" s="209"/>
      <c r="K44" s="213"/>
      <c r="Q44" s="209"/>
      <c r="R44" s="211" t="s">
        <v>187</v>
      </c>
      <c r="S44" s="211"/>
      <c r="T44" s="211"/>
      <c r="U44" s="211"/>
      <c r="W44" s="214"/>
      <c r="AM44" s="209"/>
    </row>
    <row r="45" spans="1:39" s="190" customFormat="1" ht="11.25" x14ac:dyDescent="0.2">
      <c r="A45" s="138" t="s">
        <v>188</v>
      </c>
      <c r="B45" s="143" t="s">
        <v>278</v>
      </c>
      <c r="C45" s="250" t="s">
        <v>60</v>
      </c>
      <c r="F45" s="209"/>
      <c r="G45" s="209"/>
      <c r="H45" s="209"/>
      <c r="J45" s="209"/>
      <c r="K45" s="213"/>
      <c r="Q45" s="209"/>
      <c r="R45" s="211"/>
      <c r="S45" s="211"/>
      <c r="T45" s="211"/>
      <c r="U45" s="211"/>
      <c r="W45" s="214"/>
      <c r="AA45" s="190" t="s">
        <v>66</v>
      </c>
      <c r="AH45" s="190" t="s">
        <v>66</v>
      </c>
      <c r="AM45" s="209"/>
    </row>
    <row r="46" spans="1:39" x14ac:dyDescent="0.25">
      <c r="A46" s="139" t="s">
        <v>189</v>
      </c>
      <c r="B46" s="143" t="s">
        <v>279</v>
      </c>
      <c r="C46" s="218" t="s">
        <v>61</v>
      </c>
    </row>
    <row r="47" spans="1:39" x14ac:dyDescent="0.25">
      <c r="A47" s="138" t="s">
        <v>190</v>
      </c>
      <c r="B47" s="143" t="s">
        <v>280</v>
      </c>
      <c r="F47" s="220" t="s">
        <v>104</v>
      </c>
    </row>
    <row r="48" spans="1:39" x14ac:dyDescent="0.25">
      <c r="A48" s="139" t="s">
        <v>191</v>
      </c>
      <c r="B48" s="143" t="s">
        <v>291</v>
      </c>
      <c r="F48" s="220" t="s">
        <v>64</v>
      </c>
      <c r="L48" s="215"/>
    </row>
    <row r="49" spans="1:39" x14ac:dyDescent="0.25">
      <c r="A49" s="138" t="s">
        <v>192</v>
      </c>
      <c r="B49" s="143" t="s">
        <v>292</v>
      </c>
      <c r="F49" s="220" t="s">
        <v>65</v>
      </c>
      <c r="L49" s="215"/>
    </row>
    <row r="50" spans="1:39" x14ac:dyDescent="0.25">
      <c r="A50" s="138" t="s">
        <v>193</v>
      </c>
      <c r="B50" s="143" t="s">
        <v>281</v>
      </c>
      <c r="F50" s="220" t="s">
        <v>63</v>
      </c>
      <c r="L50" s="215"/>
    </row>
    <row r="51" spans="1:39" x14ac:dyDescent="0.25">
      <c r="A51" s="138" t="s">
        <v>194</v>
      </c>
      <c r="B51" s="143" t="s">
        <v>282</v>
      </c>
      <c r="F51" s="220" t="s">
        <v>62</v>
      </c>
      <c r="L51" s="215"/>
    </row>
    <row r="52" spans="1:39" x14ac:dyDescent="0.25">
      <c r="A52" s="138" t="s">
        <v>195</v>
      </c>
      <c r="B52" s="144" t="s">
        <v>283</v>
      </c>
      <c r="G52" s="221" t="s">
        <v>33</v>
      </c>
      <c r="H52" s="221"/>
      <c r="I52" s="222"/>
      <c r="J52" s="223"/>
      <c r="K52" s="224"/>
      <c r="L52" s="222"/>
      <c r="M52" s="222"/>
      <c r="N52" s="222"/>
      <c r="O52" s="222"/>
      <c r="P52" s="222"/>
    </row>
    <row r="53" spans="1:39" x14ac:dyDescent="0.25">
      <c r="A53" s="138" t="s">
        <v>196</v>
      </c>
      <c r="B53" s="143" t="s">
        <v>284</v>
      </c>
      <c r="G53" s="225" t="s">
        <v>47</v>
      </c>
      <c r="H53" s="225"/>
      <c r="I53" s="226"/>
      <c r="J53" s="227"/>
      <c r="K53" s="228"/>
      <c r="L53" s="227"/>
      <c r="M53" s="227"/>
      <c r="N53" s="227"/>
      <c r="O53" s="229"/>
      <c r="P53" s="229"/>
      <c r="T53" s="230" t="s">
        <v>186</v>
      </c>
      <c r="AE53" s="231" t="s">
        <v>84</v>
      </c>
      <c r="AF53" s="231"/>
      <c r="AG53" s="231"/>
      <c r="AH53" s="231"/>
      <c r="AI53" s="231"/>
      <c r="AJ53" s="231"/>
      <c r="AK53" s="231"/>
      <c r="AL53" s="231"/>
      <c r="AM53" s="269"/>
    </row>
    <row r="54" spans="1:39" x14ac:dyDescent="0.25">
      <c r="A54" s="138" t="s">
        <v>197</v>
      </c>
      <c r="B54" s="143" t="s">
        <v>285</v>
      </c>
      <c r="G54" s="225">
        <v>1</v>
      </c>
      <c r="H54" s="225"/>
      <c r="I54" s="270" t="s">
        <v>48</v>
      </c>
      <c r="J54" s="271"/>
      <c r="K54" s="271"/>
      <c r="L54" s="271"/>
      <c r="M54" s="271"/>
      <c r="N54" s="271"/>
      <c r="O54" s="271"/>
      <c r="P54" s="272"/>
      <c r="Q54" s="232" t="s">
        <v>35</v>
      </c>
      <c r="R54" s="233" t="s">
        <v>36</v>
      </c>
      <c r="S54" s="234"/>
      <c r="T54" s="235"/>
      <c r="AE54" s="231" t="s">
        <v>120</v>
      </c>
      <c r="AF54" s="231"/>
      <c r="AG54" s="231"/>
      <c r="AH54" s="231"/>
      <c r="AI54" s="231"/>
      <c r="AJ54" s="231"/>
      <c r="AK54" s="231"/>
      <c r="AL54" s="231"/>
      <c r="AM54" s="269"/>
    </row>
    <row r="55" spans="1:39" x14ac:dyDescent="0.25">
      <c r="A55" s="138" t="s">
        <v>198</v>
      </c>
      <c r="B55" s="143" t="s">
        <v>286</v>
      </c>
      <c r="G55" s="225">
        <v>2</v>
      </c>
      <c r="H55" s="225"/>
      <c r="I55" s="270" t="s">
        <v>49</v>
      </c>
      <c r="J55" s="271"/>
      <c r="K55" s="271"/>
      <c r="L55" s="271"/>
      <c r="M55" s="271"/>
      <c r="N55" s="271"/>
      <c r="O55" s="271"/>
      <c r="P55" s="229"/>
      <c r="Q55" s="232" t="s">
        <v>37</v>
      </c>
      <c r="R55" s="233" t="s">
        <v>38</v>
      </c>
      <c r="S55" s="234"/>
      <c r="T55" s="235"/>
      <c r="AE55" s="231"/>
      <c r="AF55" s="231"/>
      <c r="AG55" s="231"/>
      <c r="AH55" s="231"/>
      <c r="AI55" s="231"/>
      <c r="AJ55" s="231"/>
      <c r="AK55" s="231"/>
      <c r="AL55" s="231"/>
      <c r="AM55" s="269"/>
    </row>
    <row r="56" spans="1:39" x14ac:dyDescent="0.25">
      <c r="A56" s="139" t="s">
        <v>199</v>
      </c>
      <c r="B56" s="143" t="s">
        <v>287</v>
      </c>
      <c r="G56" s="225">
        <v>3</v>
      </c>
      <c r="H56" s="225"/>
      <c r="I56" s="270" t="s">
        <v>50</v>
      </c>
      <c r="J56" s="271"/>
      <c r="K56" s="271"/>
      <c r="L56" s="271"/>
      <c r="M56" s="271"/>
      <c r="N56" s="271"/>
      <c r="O56" s="271"/>
      <c r="P56" s="272"/>
      <c r="Q56" s="232" t="s">
        <v>39</v>
      </c>
      <c r="R56" s="233" t="s">
        <v>40</v>
      </c>
      <c r="S56" s="234"/>
      <c r="T56" s="235"/>
      <c r="AE56" s="231" t="s">
        <v>85</v>
      </c>
      <c r="AF56" s="231">
        <v>1</v>
      </c>
      <c r="AG56" s="231" t="s">
        <v>86</v>
      </c>
      <c r="AH56" s="231"/>
      <c r="AI56" s="231"/>
      <c r="AJ56" s="231"/>
      <c r="AK56" s="231"/>
      <c r="AL56" s="231"/>
      <c r="AM56" s="269"/>
    </row>
    <row r="57" spans="1:39" x14ac:dyDescent="0.25">
      <c r="A57" s="140" t="s">
        <v>200</v>
      </c>
      <c r="B57" s="143" t="s">
        <v>288</v>
      </c>
      <c r="G57" s="225">
        <v>4</v>
      </c>
      <c r="H57" s="225"/>
      <c r="I57" s="270" t="s">
        <v>51</v>
      </c>
      <c r="J57" s="271"/>
      <c r="K57" s="271"/>
      <c r="L57" s="271"/>
      <c r="M57" s="271"/>
      <c r="N57" s="271"/>
      <c r="O57" s="271"/>
      <c r="P57" s="272"/>
      <c r="Q57" s="232" t="s">
        <v>41</v>
      </c>
      <c r="R57" s="233" t="s">
        <v>42</v>
      </c>
      <c r="S57" s="234"/>
      <c r="T57" s="235"/>
      <c r="AE57" s="231"/>
      <c r="AF57" s="231">
        <v>2</v>
      </c>
      <c r="AG57" s="231" t="s">
        <v>87</v>
      </c>
      <c r="AH57" s="231"/>
      <c r="AI57" s="231" t="s">
        <v>91</v>
      </c>
      <c r="AJ57" s="231"/>
      <c r="AK57" s="231"/>
      <c r="AL57" s="231"/>
      <c r="AM57" s="269"/>
    </row>
    <row r="58" spans="1:39" x14ac:dyDescent="0.25">
      <c r="A58" s="139" t="s">
        <v>201</v>
      </c>
      <c r="B58" s="145" t="s">
        <v>289</v>
      </c>
      <c r="G58" s="225">
        <v>5</v>
      </c>
      <c r="H58" s="225"/>
      <c r="I58" s="270" t="s">
        <v>52</v>
      </c>
      <c r="J58" s="271"/>
      <c r="K58" s="271"/>
      <c r="L58" s="271"/>
      <c r="M58" s="271"/>
      <c r="N58" s="271"/>
      <c r="O58" s="271"/>
      <c r="P58" s="272"/>
      <c r="Q58" s="232" t="s">
        <v>45</v>
      </c>
      <c r="R58" s="233" t="s">
        <v>46</v>
      </c>
      <c r="S58" s="236"/>
      <c r="T58" s="235"/>
      <c r="AE58" s="231"/>
      <c r="AF58" s="231">
        <v>3</v>
      </c>
      <c r="AG58" s="231" t="s">
        <v>88</v>
      </c>
      <c r="AH58" s="231"/>
      <c r="AI58" s="231" t="s">
        <v>92</v>
      </c>
      <c r="AJ58" s="231"/>
      <c r="AK58" s="231"/>
      <c r="AL58" s="231"/>
      <c r="AM58" s="269"/>
    </row>
    <row r="59" spans="1:39" x14ac:dyDescent="0.25">
      <c r="A59" s="138" t="s">
        <v>202</v>
      </c>
      <c r="B59" s="144" t="s">
        <v>290</v>
      </c>
      <c r="G59" s="225">
        <v>6</v>
      </c>
      <c r="H59" s="225"/>
      <c r="I59" s="270" t="s">
        <v>53</v>
      </c>
      <c r="J59" s="271"/>
      <c r="K59" s="271"/>
      <c r="L59" s="271"/>
      <c r="M59" s="271"/>
      <c r="N59" s="271"/>
      <c r="O59" s="271"/>
      <c r="P59" s="229"/>
      <c r="Q59" s="237" t="s">
        <v>96</v>
      </c>
      <c r="R59" s="238" t="s">
        <v>97</v>
      </c>
      <c r="S59" s="234"/>
      <c r="T59" s="235"/>
      <c r="AE59" s="231"/>
      <c r="AF59" s="231">
        <v>4</v>
      </c>
      <c r="AG59" s="231" t="s">
        <v>89</v>
      </c>
      <c r="AH59" s="231"/>
      <c r="AI59" s="231" t="s">
        <v>94</v>
      </c>
      <c r="AJ59" s="231"/>
      <c r="AK59" s="231"/>
      <c r="AL59" s="231"/>
      <c r="AM59" s="269"/>
    </row>
    <row r="60" spans="1:39" x14ac:dyDescent="0.25">
      <c r="A60" s="138" t="s">
        <v>203</v>
      </c>
      <c r="B60" s="145"/>
      <c r="G60" s="225">
        <v>7</v>
      </c>
      <c r="H60" s="225"/>
      <c r="I60" s="270" t="s">
        <v>54</v>
      </c>
      <c r="J60" s="271"/>
      <c r="K60" s="271"/>
      <c r="L60" s="271"/>
      <c r="M60" s="271"/>
      <c r="N60" s="271"/>
      <c r="O60" s="271"/>
      <c r="P60" s="229"/>
      <c r="Q60" s="232" t="s">
        <v>297</v>
      </c>
      <c r="R60" s="233"/>
      <c r="S60" s="234"/>
      <c r="T60" s="235"/>
      <c r="AE60" s="231"/>
      <c r="AF60" s="231">
        <v>5</v>
      </c>
      <c r="AG60" s="231" t="s">
        <v>90</v>
      </c>
      <c r="AH60" s="231"/>
      <c r="AI60" s="231" t="s">
        <v>93</v>
      </c>
      <c r="AJ60" s="231"/>
      <c r="AK60" s="231"/>
      <c r="AL60" s="231"/>
      <c r="AM60" s="269"/>
    </row>
    <row r="61" spans="1:39" x14ac:dyDescent="0.25">
      <c r="A61" s="138" t="s">
        <v>204</v>
      </c>
      <c r="B61" s="145"/>
      <c r="G61" s="225">
        <v>8</v>
      </c>
      <c r="H61" s="225"/>
      <c r="I61" s="270" t="s">
        <v>55</v>
      </c>
      <c r="J61" s="271"/>
      <c r="K61" s="271"/>
      <c r="L61" s="271"/>
      <c r="M61" s="271"/>
      <c r="N61" s="271"/>
      <c r="O61" s="271"/>
      <c r="P61" s="229"/>
      <c r="Q61" s="232" t="s">
        <v>43</v>
      </c>
      <c r="R61" s="233" t="s">
        <v>77</v>
      </c>
      <c r="S61" s="234"/>
      <c r="T61" s="235"/>
    </row>
    <row r="62" spans="1:39" x14ac:dyDescent="0.25">
      <c r="A62" s="138" t="s">
        <v>205</v>
      </c>
      <c r="B62" s="143"/>
      <c r="G62" s="225">
        <v>9</v>
      </c>
      <c r="H62" s="225"/>
      <c r="I62" s="270" t="s">
        <v>56</v>
      </c>
      <c r="J62" s="271"/>
      <c r="K62" s="271"/>
      <c r="L62" s="271"/>
      <c r="M62" s="271"/>
      <c r="N62" s="271"/>
      <c r="O62" s="271"/>
      <c r="P62" s="272"/>
      <c r="Q62" s="232" t="s">
        <v>44</v>
      </c>
      <c r="R62" s="233"/>
      <c r="S62" s="239"/>
    </row>
    <row r="63" spans="1:39" x14ac:dyDescent="0.25">
      <c r="A63" s="138" t="s">
        <v>206</v>
      </c>
      <c r="B63" s="143"/>
      <c r="G63" s="225">
        <v>10</v>
      </c>
      <c r="H63" s="225"/>
      <c r="I63" s="240" t="s">
        <v>57</v>
      </c>
      <c r="J63" s="241"/>
      <c r="K63" s="242"/>
      <c r="L63" s="241"/>
      <c r="M63" s="241"/>
      <c r="N63" s="241"/>
      <c r="O63" s="243"/>
      <c r="P63" s="229"/>
    </row>
    <row r="64" spans="1:39" x14ac:dyDescent="0.25">
      <c r="A64" s="140" t="s">
        <v>207</v>
      </c>
      <c r="B64" s="143"/>
      <c r="G64" s="225">
        <v>11</v>
      </c>
      <c r="H64" s="225"/>
      <c r="I64" s="270" t="s">
        <v>58</v>
      </c>
      <c r="J64" s="271"/>
      <c r="K64" s="271"/>
      <c r="L64" s="271"/>
      <c r="M64" s="271"/>
      <c r="N64" s="271"/>
      <c r="O64" s="271"/>
      <c r="P64" s="229"/>
    </row>
    <row r="65" spans="1:16" x14ac:dyDescent="0.25">
      <c r="A65" s="138" t="s">
        <v>208</v>
      </c>
      <c r="B65" s="143"/>
      <c r="G65" s="225">
        <v>12</v>
      </c>
      <c r="H65" s="225"/>
      <c r="I65" s="270" t="s">
        <v>59</v>
      </c>
      <c r="J65" s="271"/>
      <c r="K65" s="271"/>
      <c r="L65" s="271"/>
      <c r="M65" s="271"/>
      <c r="N65" s="271"/>
      <c r="O65" s="271"/>
      <c r="P65" s="229"/>
    </row>
    <row r="66" spans="1:16" x14ac:dyDescent="0.25">
      <c r="A66" s="138" t="s">
        <v>209</v>
      </c>
      <c r="B66" s="144"/>
    </row>
    <row r="67" spans="1:16" x14ac:dyDescent="0.25">
      <c r="A67" s="138" t="s">
        <v>210</v>
      </c>
      <c r="B67" s="143"/>
      <c r="H67" s="244" t="s">
        <v>98</v>
      </c>
      <c r="I67" s="245"/>
      <c r="J67" s="246"/>
      <c r="K67" s="247"/>
      <c r="L67" s="245"/>
    </row>
    <row r="68" spans="1:16" x14ac:dyDescent="0.25">
      <c r="A68" s="138" t="s">
        <v>211</v>
      </c>
      <c r="B68" s="143"/>
      <c r="H68" s="248" t="s">
        <v>99</v>
      </c>
      <c r="I68" s="245"/>
      <c r="J68" s="246"/>
      <c r="K68" s="247"/>
      <c r="L68" s="245"/>
    </row>
    <row r="69" spans="1:16" x14ac:dyDescent="0.25">
      <c r="A69" s="138" t="s">
        <v>212</v>
      </c>
      <c r="B69" s="143"/>
      <c r="H69" s="248" t="s">
        <v>101</v>
      </c>
      <c r="I69" s="245"/>
      <c r="J69" s="246"/>
      <c r="K69" s="247"/>
      <c r="L69" s="245"/>
    </row>
    <row r="70" spans="1:16" x14ac:dyDescent="0.25">
      <c r="A70" s="138" t="s">
        <v>213</v>
      </c>
      <c r="B70" s="143"/>
      <c r="H70" s="248" t="s">
        <v>100</v>
      </c>
      <c r="I70" s="245"/>
      <c r="J70" s="246"/>
      <c r="K70" s="247"/>
      <c r="L70" s="245"/>
    </row>
    <row r="71" spans="1:16" x14ac:dyDescent="0.25">
      <c r="A71" s="139" t="s">
        <v>214</v>
      </c>
      <c r="B71" s="144"/>
      <c r="H71" s="248" t="s">
        <v>102</v>
      </c>
      <c r="I71" s="245"/>
      <c r="J71" s="246"/>
      <c r="K71" s="247"/>
      <c r="L71" s="245"/>
    </row>
    <row r="72" spans="1:16" x14ac:dyDescent="0.25">
      <c r="A72" s="138" t="s">
        <v>215</v>
      </c>
      <c r="B72" s="143"/>
    </row>
    <row r="73" spans="1:16" x14ac:dyDescent="0.25">
      <c r="A73" s="138" t="s">
        <v>216</v>
      </c>
      <c r="B73" s="143"/>
    </row>
    <row r="74" spans="1:16" x14ac:dyDescent="0.25">
      <c r="A74" s="138" t="s">
        <v>217</v>
      </c>
      <c r="B74" s="144"/>
    </row>
    <row r="75" spans="1:16" x14ac:dyDescent="0.25">
      <c r="A75" s="138" t="s">
        <v>218</v>
      </c>
      <c r="B75" s="143"/>
    </row>
    <row r="76" spans="1:16" x14ac:dyDescent="0.25">
      <c r="A76" s="140" t="s">
        <v>219</v>
      </c>
      <c r="B76" s="143"/>
    </row>
    <row r="77" spans="1:16" x14ac:dyDescent="0.25">
      <c r="A77" s="138" t="s">
        <v>220</v>
      </c>
      <c r="B77" s="144"/>
    </row>
    <row r="78" spans="1:16" x14ac:dyDescent="0.25">
      <c r="A78" s="138" t="s">
        <v>221</v>
      </c>
      <c r="B78" s="143"/>
    </row>
    <row r="79" spans="1:16" x14ac:dyDescent="0.25">
      <c r="A79" s="138" t="s">
        <v>222</v>
      </c>
      <c r="B79" s="143"/>
    </row>
    <row r="80" spans="1:16" x14ac:dyDescent="0.25">
      <c r="A80" s="138" t="s">
        <v>223</v>
      </c>
      <c r="B80" s="143"/>
    </row>
    <row r="81" spans="1:2" x14ac:dyDescent="0.25">
      <c r="A81" s="141" t="s">
        <v>224</v>
      </c>
      <c r="B81" s="144"/>
    </row>
    <row r="82" spans="1:2" x14ac:dyDescent="0.25">
      <c r="A82" s="139" t="s">
        <v>225</v>
      </c>
      <c r="B82" s="143"/>
    </row>
    <row r="83" spans="1:2" x14ac:dyDescent="0.25">
      <c r="A83" s="142" t="s">
        <v>226</v>
      </c>
      <c r="B83" s="144"/>
    </row>
    <row r="84" spans="1:2" x14ac:dyDescent="0.25">
      <c r="A84" s="138" t="s">
        <v>227</v>
      </c>
      <c r="B84" s="143"/>
    </row>
    <row r="85" spans="1:2" x14ac:dyDescent="0.25">
      <c r="A85" s="138" t="s">
        <v>228</v>
      </c>
      <c r="B85" s="143"/>
    </row>
    <row r="86" spans="1:2" x14ac:dyDescent="0.25">
      <c r="A86" s="138" t="s">
        <v>229</v>
      </c>
      <c r="B86" s="143"/>
    </row>
    <row r="87" spans="1:2" x14ac:dyDescent="0.25">
      <c r="A87" s="138" t="s">
        <v>230</v>
      </c>
      <c r="B87" s="143"/>
    </row>
    <row r="88" spans="1:2" x14ac:dyDescent="0.25">
      <c r="A88" s="138" t="s">
        <v>231</v>
      </c>
      <c r="B88" s="145"/>
    </row>
    <row r="89" spans="1:2" x14ac:dyDescent="0.25">
      <c r="A89" s="138" t="s">
        <v>232</v>
      </c>
      <c r="B89" s="143"/>
    </row>
    <row r="90" spans="1:2" x14ac:dyDescent="0.25">
      <c r="A90" s="140" t="s">
        <v>233</v>
      </c>
      <c r="B90" s="143"/>
    </row>
    <row r="91" spans="1:2" x14ac:dyDescent="0.25">
      <c r="A91" s="141" t="s">
        <v>234</v>
      </c>
      <c r="B91" s="143"/>
    </row>
    <row r="92" spans="1:2" x14ac:dyDescent="0.25">
      <c r="A92" s="138" t="s">
        <v>235</v>
      </c>
      <c r="B92" s="143"/>
    </row>
    <row r="93" spans="1:2" x14ac:dyDescent="0.25">
      <c r="A93" s="138" t="s">
        <v>236</v>
      </c>
      <c r="B93" s="143"/>
    </row>
    <row r="94" spans="1:2" x14ac:dyDescent="0.25">
      <c r="A94" s="138" t="s">
        <v>237</v>
      </c>
      <c r="B94" s="144"/>
    </row>
    <row r="95" spans="1:2" x14ac:dyDescent="0.25">
      <c r="A95" s="141" t="s">
        <v>238</v>
      </c>
      <c r="B95" s="143"/>
    </row>
    <row r="96" spans="1:2" x14ac:dyDescent="0.25">
      <c r="A96" s="138" t="s">
        <v>239</v>
      </c>
      <c r="B96" s="143"/>
    </row>
    <row r="97" spans="1:2" x14ac:dyDescent="0.25">
      <c r="A97" s="138" t="s">
        <v>240</v>
      </c>
      <c r="B97" s="143"/>
    </row>
    <row r="98" spans="1:2" x14ac:dyDescent="0.25">
      <c r="A98" s="138" t="s">
        <v>241</v>
      </c>
      <c r="B98" s="143"/>
    </row>
    <row r="99" spans="1:2" x14ac:dyDescent="0.25">
      <c r="A99" s="140" t="s">
        <v>242</v>
      </c>
      <c r="B99" s="143"/>
    </row>
    <row r="100" spans="1:2" x14ac:dyDescent="0.25">
      <c r="A100" s="138" t="s">
        <v>243</v>
      </c>
      <c r="B100" s="143"/>
    </row>
    <row r="101" spans="1:2" x14ac:dyDescent="0.25">
      <c r="A101" s="139" t="s">
        <v>244</v>
      </c>
      <c r="B101" s="144"/>
    </row>
    <row r="102" spans="1:2" x14ac:dyDescent="0.25">
      <c r="A102" s="138" t="s">
        <v>245</v>
      </c>
      <c r="B102" s="143"/>
    </row>
    <row r="103" spans="1:2" x14ac:dyDescent="0.25">
      <c r="A103" s="138" t="s">
        <v>246</v>
      </c>
      <c r="B103" s="144"/>
    </row>
    <row r="104" spans="1:2" x14ac:dyDescent="0.25">
      <c r="A104" s="138" t="s">
        <v>247</v>
      </c>
      <c r="B104" s="143"/>
    </row>
    <row r="105" spans="1:2" x14ac:dyDescent="0.25">
      <c r="A105" s="139" t="s">
        <v>248</v>
      </c>
      <c r="B105" s="144"/>
    </row>
    <row r="106" spans="1:2" x14ac:dyDescent="0.25">
      <c r="A106" s="138" t="s">
        <v>249</v>
      </c>
      <c r="B106" s="143"/>
    </row>
    <row r="107" spans="1:2" x14ac:dyDescent="0.25">
      <c r="A107" s="138" t="s">
        <v>250</v>
      </c>
      <c r="B107" s="144"/>
    </row>
    <row r="108" spans="1:2" x14ac:dyDescent="0.25">
      <c r="A108" s="140" t="s">
        <v>251</v>
      </c>
      <c r="B108" s="143"/>
    </row>
    <row r="109" spans="1:2" x14ac:dyDescent="0.25">
      <c r="A109" s="138" t="s">
        <v>252</v>
      </c>
      <c r="B109" s="143"/>
    </row>
    <row r="110" spans="1:2" x14ac:dyDescent="0.25">
      <c r="A110" s="139" t="s">
        <v>253</v>
      </c>
      <c r="B110" s="143"/>
    </row>
    <row r="111" spans="1:2" x14ac:dyDescent="0.25">
      <c r="A111" s="138" t="s">
        <v>254</v>
      </c>
      <c r="B111" s="143"/>
    </row>
    <row r="112" spans="1:2" x14ac:dyDescent="0.25">
      <c r="A112" s="138" t="s">
        <v>255</v>
      </c>
      <c r="B112" s="144"/>
    </row>
    <row r="113" spans="1:2" x14ac:dyDescent="0.25">
      <c r="A113" s="138" t="s">
        <v>256</v>
      </c>
      <c r="B113" s="143"/>
    </row>
    <row r="114" spans="1:2" x14ac:dyDescent="0.25">
      <c r="A114" s="138" t="s">
        <v>257</v>
      </c>
      <c r="B114" s="143"/>
    </row>
    <row r="115" spans="1:2" x14ac:dyDescent="0.25">
      <c r="A115" s="138" t="s">
        <v>258</v>
      </c>
      <c r="B115" s="143"/>
    </row>
    <row r="116" spans="1:2" x14ac:dyDescent="0.25">
      <c r="A116" s="138" t="s">
        <v>259</v>
      </c>
      <c r="B116" s="144"/>
    </row>
    <row r="117" spans="1:2" x14ac:dyDescent="0.25">
      <c r="A117" s="139" t="s">
        <v>260</v>
      </c>
      <c r="B117" s="143"/>
    </row>
    <row r="118" spans="1:2" x14ac:dyDescent="0.25">
      <c r="A118" s="138" t="s">
        <v>261</v>
      </c>
      <c r="B118" s="143"/>
    </row>
    <row r="119" spans="1:2" x14ac:dyDescent="0.25">
      <c r="A119" s="138" t="s">
        <v>262</v>
      </c>
      <c r="B119" s="143"/>
    </row>
    <row r="120" spans="1:2" x14ac:dyDescent="0.25">
      <c r="A120" s="138" t="s">
        <v>263</v>
      </c>
      <c r="B120" s="143"/>
    </row>
    <row r="121" spans="1:2" x14ac:dyDescent="0.25">
      <c r="A121" s="139" t="s">
        <v>264</v>
      </c>
      <c r="B121" s="143"/>
    </row>
    <row r="122" spans="1:2" x14ac:dyDescent="0.25">
      <c r="A122" s="138" t="s">
        <v>265</v>
      </c>
      <c r="B122" s="144"/>
    </row>
    <row r="123" spans="1:2" x14ac:dyDescent="0.25">
      <c r="A123" s="138" t="s">
        <v>266</v>
      </c>
      <c r="B123" s="145"/>
    </row>
    <row r="124" spans="1:2" x14ac:dyDescent="0.25">
      <c r="A124" s="142" t="s">
        <v>267</v>
      </c>
      <c r="B124" s="144"/>
    </row>
    <row r="125" spans="1:2" x14ac:dyDescent="0.25">
      <c r="A125" s="138" t="s">
        <v>268</v>
      </c>
      <c r="B125" s="143"/>
    </row>
    <row r="126" spans="1:2" x14ac:dyDescent="0.25">
      <c r="A126" s="138" t="s">
        <v>269</v>
      </c>
      <c r="B126" s="144"/>
    </row>
    <row r="127" spans="1:2" x14ac:dyDescent="0.25">
      <c r="A127" s="139" t="s">
        <v>270</v>
      </c>
      <c r="B127" s="143"/>
    </row>
    <row r="128" spans="1:2" x14ac:dyDescent="0.25">
      <c r="A128" s="138" t="s">
        <v>271</v>
      </c>
      <c r="B128" s="143"/>
    </row>
    <row r="129" spans="1:2" x14ac:dyDescent="0.25">
      <c r="A129" s="138" t="s">
        <v>272</v>
      </c>
      <c r="B129" s="144"/>
    </row>
    <row r="130" spans="1:2" x14ac:dyDescent="0.25">
      <c r="A130" s="138" t="s">
        <v>273</v>
      </c>
      <c r="B130" s="145"/>
    </row>
    <row r="131" spans="1:2" x14ac:dyDescent="0.25">
      <c r="A131" s="138" t="s">
        <v>274</v>
      </c>
      <c r="B131" s="143"/>
    </row>
    <row r="132" spans="1:2" x14ac:dyDescent="0.25">
      <c r="A132" s="141" t="s">
        <v>275</v>
      </c>
      <c r="B132" s="144"/>
    </row>
    <row r="133" spans="1:2" x14ac:dyDescent="0.25">
      <c r="A133" s="138" t="s">
        <v>276</v>
      </c>
      <c r="B133" s="143"/>
    </row>
    <row r="134" spans="1:2" x14ac:dyDescent="0.25">
      <c r="A134" s="138" t="s">
        <v>277</v>
      </c>
      <c r="B134" s="143"/>
    </row>
  </sheetData>
  <mergeCells count="11">
    <mergeCell ref="I65:O65"/>
    <mergeCell ref="I59:O59"/>
    <mergeCell ref="I60:O60"/>
    <mergeCell ref="I61:O61"/>
    <mergeCell ref="I62:P62"/>
    <mergeCell ref="I64:O64"/>
    <mergeCell ref="I54:P54"/>
    <mergeCell ref="I55:O55"/>
    <mergeCell ref="I56:P56"/>
    <mergeCell ref="I57:P57"/>
    <mergeCell ref="I58:P5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8"/>
  <sheetViews>
    <sheetView zoomScale="80" zoomScaleNormal="80" workbookViewId="0">
      <selection activeCell="K31" sqref="K31"/>
    </sheetView>
  </sheetViews>
  <sheetFormatPr defaultRowHeight="15" x14ac:dyDescent="0.25"/>
  <sheetData>
    <row r="1" spans="1:14" ht="15.75" x14ac:dyDescent="0.25">
      <c r="A1" s="76" t="s">
        <v>134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5.75" x14ac:dyDescent="0.25">
      <c r="A2" s="76" t="s">
        <v>135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5.75" x14ac:dyDescent="0.25">
      <c r="A3" s="77" t="s">
        <v>136</v>
      </c>
      <c r="B3" s="7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15.75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ht="15.75" x14ac:dyDescent="0.25">
      <c r="A5" s="136" t="s">
        <v>137</v>
      </c>
      <c r="B5" s="79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15.75" x14ac:dyDescent="0.25">
      <c r="A6" s="7" t="s">
        <v>138</v>
      </c>
      <c r="B6" s="79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15.75" x14ac:dyDescent="0.25">
      <c r="A7" s="76"/>
      <c r="B7" s="80" t="s">
        <v>139</v>
      </c>
      <c r="C7" s="76" t="s">
        <v>140</v>
      </c>
      <c r="D7" s="76" t="s">
        <v>141</v>
      </c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5.75" x14ac:dyDescent="0.25">
      <c r="A8" s="76" t="s">
        <v>142</v>
      </c>
      <c r="B8" s="81">
        <v>89</v>
      </c>
      <c r="C8" s="76" t="s">
        <v>143</v>
      </c>
      <c r="D8" s="76" t="s">
        <v>144</v>
      </c>
      <c r="E8" s="76">
        <v>5</v>
      </c>
      <c r="F8" s="76">
        <v>25</v>
      </c>
      <c r="G8" s="77">
        <v>190</v>
      </c>
      <c r="H8" s="76" t="s">
        <v>145</v>
      </c>
      <c r="I8" s="76"/>
      <c r="J8" s="76"/>
      <c r="K8" s="76"/>
      <c r="L8" s="76"/>
      <c r="M8" s="76"/>
      <c r="N8" s="76"/>
    </row>
    <row r="9" spans="1:14" ht="15.75" x14ac:dyDescent="0.25">
      <c r="A9" s="82">
        <v>7.0000000000000007E-2</v>
      </c>
      <c r="B9" s="83">
        <v>57</v>
      </c>
      <c r="C9" s="84">
        <f t="shared" ref="C9:C18" si="0">($B$8-B9)/$B$8*A9</f>
        <v>2.5168539325842697E-2</v>
      </c>
      <c r="D9" s="85">
        <f>IF(D16&gt;0,($B$8-B9)*2.1,D11)</f>
        <v>40.950000000000003</v>
      </c>
      <c r="E9" s="86">
        <f t="shared" ref="E9:G18" si="1">$D9*E$8</f>
        <v>204.75</v>
      </c>
      <c r="F9" s="86">
        <f t="shared" si="1"/>
        <v>1023.7500000000001</v>
      </c>
      <c r="G9" s="87">
        <f t="shared" si="1"/>
        <v>7780.5000000000009</v>
      </c>
      <c r="H9" s="76"/>
      <c r="I9" s="76"/>
      <c r="J9" s="76"/>
      <c r="K9" s="76"/>
      <c r="L9" s="76"/>
      <c r="M9" s="76"/>
      <c r="N9" s="76"/>
    </row>
    <row r="10" spans="1:14" ht="15.75" x14ac:dyDescent="0.25">
      <c r="A10" s="82">
        <v>0.08</v>
      </c>
      <c r="B10" s="83">
        <v>63</v>
      </c>
      <c r="C10" s="84">
        <f t="shared" si="0"/>
        <v>2.3370786516853932E-2</v>
      </c>
      <c r="D10" s="85">
        <f>IF(D17&gt;0,($B$8-B10)*2.1,D12)</f>
        <v>27.3</v>
      </c>
      <c r="E10" s="86">
        <f t="shared" si="1"/>
        <v>136.5</v>
      </c>
      <c r="F10" s="86">
        <f t="shared" si="1"/>
        <v>682.5</v>
      </c>
      <c r="G10" s="87">
        <f t="shared" si="1"/>
        <v>5187</v>
      </c>
      <c r="H10" s="88" t="s">
        <v>146</v>
      </c>
      <c r="I10" s="89"/>
      <c r="J10" s="89"/>
      <c r="K10" s="89"/>
      <c r="L10" s="76"/>
      <c r="M10" s="76"/>
      <c r="N10" s="76"/>
    </row>
    <row r="11" spans="1:14" ht="15.75" x14ac:dyDescent="0.25">
      <c r="A11" s="82">
        <v>0.09</v>
      </c>
      <c r="B11" s="83">
        <v>69.5</v>
      </c>
      <c r="C11" s="84">
        <f t="shared" si="0"/>
        <v>1.9719101123595505E-2</v>
      </c>
      <c r="D11" s="85">
        <f t="shared" ref="D11:D18" si="2">($B$8-B11)*2.1</f>
        <v>40.950000000000003</v>
      </c>
      <c r="E11" s="86">
        <f t="shared" si="1"/>
        <v>204.75</v>
      </c>
      <c r="F11" s="86">
        <f t="shared" si="1"/>
        <v>1023.7500000000001</v>
      </c>
      <c r="G11" s="87">
        <f t="shared" si="1"/>
        <v>7780.5000000000009</v>
      </c>
      <c r="H11" s="76"/>
      <c r="I11" s="76"/>
      <c r="J11" s="76"/>
      <c r="K11" s="76"/>
      <c r="L11" s="76"/>
      <c r="M11" s="76"/>
      <c r="N11" s="76"/>
    </row>
    <row r="12" spans="1:14" ht="15.75" x14ac:dyDescent="0.25">
      <c r="A12" s="82">
        <v>0.1</v>
      </c>
      <c r="B12" s="83">
        <v>76</v>
      </c>
      <c r="C12" s="84">
        <f t="shared" si="0"/>
        <v>1.4606741573033709E-2</v>
      </c>
      <c r="D12" s="85">
        <f t="shared" si="2"/>
        <v>27.3</v>
      </c>
      <c r="E12" s="86">
        <f t="shared" si="1"/>
        <v>136.5</v>
      </c>
      <c r="F12" s="86">
        <f t="shared" si="1"/>
        <v>682.5</v>
      </c>
      <c r="G12" s="87">
        <f t="shared" si="1"/>
        <v>5187</v>
      </c>
      <c r="H12" s="76"/>
      <c r="I12" s="76"/>
      <c r="J12" s="76"/>
      <c r="K12" s="76"/>
      <c r="L12" s="76"/>
      <c r="M12" s="76"/>
      <c r="N12" s="76"/>
    </row>
    <row r="13" spans="1:14" ht="15.75" x14ac:dyDescent="0.25">
      <c r="A13" s="82">
        <v>0.11</v>
      </c>
      <c r="B13" s="83">
        <v>82.5</v>
      </c>
      <c r="C13" s="84">
        <f t="shared" si="0"/>
        <v>8.0337078651685385E-3</v>
      </c>
      <c r="D13" s="85">
        <f t="shared" si="2"/>
        <v>13.65</v>
      </c>
      <c r="E13" s="86">
        <f t="shared" si="1"/>
        <v>68.25</v>
      </c>
      <c r="F13" s="86">
        <f t="shared" si="1"/>
        <v>341.25</v>
      </c>
      <c r="G13" s="87">
        <f t="shared" si="1"/>
        <v>2593.5</v>
      </c>
      <c r="H13" s="76"/>
      <c r="I13" s="76"/>
      <c r="J13" s="76"/>
      <c r="K13" s="76"/>
      <c r="L13" s="76"/>
      <c r="M13" s="76"/>
      <c r="N13" s="76"/>
    </row>
    <row r="14" spans="1:14" ht="15.75" x14ac:dyDescent="0.25">
      <c r="A14" s="90">
        <v>0.115</v>
      </c>
      <c r="B14" s="91">
        <f t="shared" ref="B14:G14" si="3">AVERAGE(B13,B15)</f>
        <v>85.75</v>
      </c>
      <c r="C14" s="91">
        <f t="shared" si="3"/>
        <v>4.0168539325842693E-3</v>
      </c>
      <c r="D14" s="91">
        <f t="shared" si="3"/>
        <v>6.8250000000000002</v>
      </c>
      <c r="E14" s="92">
        <f t="shared" si="3"/>
        <v>34.125</v>
      </c>
      <c r="F14" s="92">
        <f t="shared" si="3"/>
        <v>170.625</v>
      </c>
      <c r="G14" s="92">
        <f t="shared" si="3"/>
        <v>1296.75</v>
      </c>
      <c r="H14" s="93" t="s">
        <v>147</v>
      </c>
      <c r="I14" s="94"/>
      <c r="J14" s="94"/>
      <c r="K14" s="94"/>
      <c r="L14" s="76"/>
      <c r="M14" s="76"/>
      <c r="N14" s="76"/>
    </row>
    <row r="15" spans="1:14" ht="15.75" x14ac:dyDescent="0.25">
      <c r="A15" s="95">
        <v>0.12</v>
      </c>
      <c r="B15" s="96">
        <v>89</v>
      </c>
      <c r="C15" s="97">
        <f t="shared" si="0"/>
        <v>0</v>
      </c>
      <c r="D15" s="98">
        <f t="shared" si="2"/>
        <v>0</v>
      </c>
      <c r="E15" s="99">
        <f t="shared" si="1"/>
        <v>0</v>
      </c>
      <c r="F15" s="99">
        <f t="shared" si="1"/>
        <v>0</v>
      </c>
      <c r="G15" s="100">
        <f t="shared" si="1"/>
        <v>0</v>
      </c>
      <c r="H15" s="101" t="s">
        <v>148</v>
      </c>
      <c r="I15" s="102"/>
      <c r="J15" s="89"/>
      <c r="K15" s="89"/>
      <c r="L15" s="76"/>
      <c r="M15" s="76"/>
      <c r="N15" s="76"/>
    </row>
    <row r="16" spans="1:14" ht="15.75" x14ac:dyDescent="0.25">
      <c r="A16" s="103">
        <v>0.13</v>
      </c>
      <c r="B16" s="104">
        <v>95</v>
      </c>
      <c r="C16" s="105">
        <f t="shared" si="0"/>
        <v>-8.7640449438202254E-3</v>
      </c>
      <c r="D16" s="106">
        <f t="shared" si="2"/>
        <v>-12.600000000000001</v>
      </c>
      <c r="E16" s="107">
        <f t="shared" si="1"/>
        <v>-63.000000000000007</v>
      </c>
      <c r="F16" s="107">
        <f t="shared" si="1"/>
        <v>-315.00000000000006</v>
      </c>
      <c r="G16" s="101">
        <f t="shared" si="1"/>
        <v>-2394.0000000000005</v>
      </c>
      <c r="H16" s="101"/>
      <c r="I16" s="89"/>
      <c r="J16" s="89"/>
      <c r="K16" s="89"/>
      <c r="L16" s="76"/>
      <c r="M16" s="76"/>
      <c r="N16" s="76"/>
    </row>
    <row r="17" spans="1:14" ht="15.75" x14ac:dyDescent="0.25">
      <c r="A17" s="103">
        <v>0.14000000000000001</v>
      </c>
      <c r="B17" s="104">
        <v>101.5</v>
      </c>
      <c r="C17" s="105">
        <f t="shared" si="0"/>
        <v>-1.966292134831461E-2</v>
      </c>
      <c r="D17" s="106">
        <f t="shared" si="2"/>
        <v>-26.25</v>
      </c>
      <c r="E17" s="107">
        <f t="shared" si="1"/>
        <v>-131.25</v>
      </c>
      <c r="F17" s="107">
        <f t="shared" si="1"/>
        <v>-656.25</v>
      </c>
      <c r="G17" s="101">
        <f t="shared" si="1"/>
        <v>-4987.5</v>
      </c>
      <c r="H17" s="101"/>
      <c r="I17" s="76"/>
      <c r="J17" s="76"/>
      <c r="K17" s="76"/>
      <c r="L17" s="76"/>
      <c r="M17" s="76"/>
      <c r="N17" s="76"/>
    </row>
    <row r="18" spans="1:14" ht="15.75" x14ac:dyDescent="0.25">
      <c r="A18" s="103">
        <v>0.15</v>
      </c>
      <c r="B18" s="104">
        <v>108</v>
      </c>
      <c r="C18" s="105">
        <f t="shared" si="0"/>
        <v>-3.2022471910112357E-2</v>
      </c>
      <c r="D18" s="106">
        <f t="shared" si="2"/>
        <v>-39.9</v>
      </c>
      <c r="E18" s="107">
        <f t="shared" si="1"/>
        <v>-199.5</v>
      </c>
      <c r="F18" s="107">
        <f t="shared" si="1"/>
        <v>-997.5</v>
      </c>
      <c r="G18" s="101">
        <f t="shared" si="1"/>
        <v>-7581</v>
      </c>
      <c r="H18" s="101" t="s">
        <v>149</v>
      </c>
      <c r="I18" s="89"/>
      <c r="J18" s="89"/>
      <c r="K18" s="89"/>
      <c r="L18" s="76"/>
      <c r="M18" s="76"/>
      <c r="N18" s="76"/>
    </row>
    <row r="19" spans="1:14" ht="15.75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</row>
    <row r="20" spans="1:14" ht="15.75" x14ac:dyDescent="0.25">
      <c r="A20" s="76" t="s">
        <v>150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</row>
    <row r="21" spans="1:14" ht="15.75" x14ac:dyDescent="0.25">
      <c r="A21" s="113" t="s">
        <v>151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</row>
    <row r="22" spans="1:14" ht="15.75" x14ac:dyDescent="0.25">
      <c r="A22" s="108" t="s">
        <v>152</v>
      </c>
      <c r="B22" s="108"/>
      <c r="C22" s="108">
        <v>4.0999999999999996</v>
      </c>
      <c r="D22" s="76"/>
      <c r="E22" s="76"/>
      <c r="F22" s="109">
        <f>(C22*C24-C23)*D27</f>
        <v>215.25</v>
      </c>
      <c r="G22" s="109" t="s">
        <v>153</v>
      </c>
      <c r="H22" s="76"/>
      <c r="I22" s="76" t="s">
        <v>154</v>
      </c>
      <c r="J22" s="76"/>
      <c r="K22" s="76"/>
      <c r="L22" s="76"/>
      <c r="M22" s="76"/>
      <c r="N22" s="76"/>
    </row>
    <row r="23" spans="1:14" ht="15.75" x14ac:dyDescent="0.25">
      <c r="A23" s="76" t="s">
        <v>155</v>
      </c>
      <c r="B23" s="76"/>
      <c r="C23" s="77">
        <v>0</v>
      </c>
      <c r="D23" s="110" t="s">
        <v>156</v>
      </c>
      <c r="E23" s="76"/>
      <c r="F23" s="109"/>
      <c r="G23" s="109"/>
      <c r="H23" s="76"/>
      <c r="I23" s="76"/>
      <c r="J23" s="76"/>
      <c r="K23" s="76"/>
      <c r="L23" s="76"/>
      <c r="M23" s="76"/>
      <c r="N23" s="76"/>
    </row>
    <row r="24" spans="1:14" ht="15.75" x14ac:dyDescent="0.25">
      <c r="A24" s="76" t="s">
        <v>157</v>
      </c>
      <c r="B24" s="76"/>
      <c r="C24" s="77">
        <v>5</v>
      </c>
      <c r="D24" s="110" t="s">
        <v>158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spans="1:14" ht="15.75" x14ac:dyDescent="0.25">
      <c r="A25" s="76" t="s">
        <v>159</v>
      </c>
      <c r="B25" s="76"/>
      <c r="C25" s="77">
        <v>0.75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ht="15.75" x14ac:dyDescent="0.25">
      <c r="A26" s="76" t="s">
        <v>160</v>
      </c>
      <c r="B26" s="76"/>
      <c r="C26" s="111">
        <v>14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</row>
    <row r="27" spans="1:14" ht="15.75" x14ac:dyDescent="0.25">
      <c r="A27" s="76" t="s">
        <v>161</v>
      </c>
      <c r="B27" s="76"/>
      <c r="C27" s="76"/>
      <c r="D27" s="112">
        <f>C26*C25</f>
        <v>10.5</v>
      </c>
      <c r="E27" s="113"/>
      <c r="F27" s="109">
        <f>D28/D27</f>
        <v>20.5</v>
      </c>
      <c r="G27" s="109" t="s">
        <v>162</v>
      </c>
      <c r="H27" s="76"/>
      <c r="I27" s="76"/>
      <c r="J27" s="76"/>
      <c r="K27" s="76"/>
      <c r="L27" s="76"/>
      <c r="M27" s="76"/>
      <c r="N27" s="76"/>
    </row>
    <row r="28" spans="1:14" ht="15.75" x14ac:dyDescent="0.25">
      <c r="A28" s="76" t="s">
        <v>163</v>
      </c>
      <c r="B28" s="76"/>
      <c r="C28" s="76"/>
      <c r="D28" s="114">
        <f>(C22*C24-C23)*D27</f>
        <v>215.25</v>
      </c>
      <c r="E28" s="113" t="s">
        <v>164</v>
      </c>
      <c r="F28" s="115">
        <f>D28/C26</f>
        <v>15.375</v>
      </c>
      <c r="G28" s="109" t="s">
        <v>165</v>
      </c>
      <c r="H28" s="76"/>
      <c r="I28" s="76"/>
      <c r="J28" s="76"/>
      <c r="K28" s="76"/>
      <c r="L28" s="76"/>
      <c r="M28" s="76"/>
      <c r="N28" s="76"/>
    </row>
    <row r="29" spans="1:14" ht="15.75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</row>
    <row r="30" spans="1:14" ht="15.75" x14ac:dyDescent="0.25">
      <c r="A30" s="76" t="s">
        <v>166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</row>
    <row r="31" spans="1:14" ht="15.75" x14ac:dyDescent="0.25">
      <c r="A31" s="113" t="s">
        <v>167</v>
      </c>
      <c r="B31" s="76"/>
      <c r="C31" s="76"/>
      <c r="D31" s="110" t="s">
        <v>168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14" ht="15.75" x14ac:dyDescent="0.25">
      <c r="A32" s="76" t="s">
        <v>169</v>
      </c>
      <c r="B32" s="76" t="s">
        <v>170</v>
      </c>
      <c r="C32" s="77">
        <v>50</v>
      </c>
      <c r="D32" s="116">
        <f>C32/0.58*C35*C34/1000</f>
        <v>1.2931034482758621</v>
      </c>
      <c r="E32" s="76" t="s">
        <v>171</v>
      </c>
      <c r="F32" s="76"/>
      <c r="G32" s="76"/>
      <c r="H32" s="76"/>
      <c r="I32" s="76"/>
      <c r="J32" s="76"/>
      <c r="K32" s="76"/>
      <c r="L32" s="76"/>
      <c r="M32" s="76"/>
      <c r="N32" s="76"/>
    </row>
    <row r="33" spans="1:14" ht="15.75" x14ac:dyDescent="0.25">
      <c r="A33" s="76" t="s">
        <v>172</v>
      </c>
      <c r="B33" s="76"/>
      <c r="C33" s="77">
        <v>1</v>
      </c>
      <c r="D33" s="117">
        <f>C33*C35</f>
        <v>20</v>
      </c>
      <c r="E33" s="76" t="s">
        <v>173</v>
      </c>
      <c r="F33" s="76"/>
      <c r="G33" s="76"/>
      <c r="H33" s="76"/>
      <c r="I33" s="76"/>
      <c r="J33" s="76"/>
      <c r="K33" s="76"/>
      <c r="L33" s="76"/>
      <c r="M33" s="76"/>
      <c r="N33" s="76"/>
    </row>
    <row r="34" spans="1:14" ht="15.75" x14ac:dyDescent="0.25">
      <c r="A34" s="76" t="s">
        <v>159</v>
      </c>
      <c r="B34" s="76"/>
      <c r="C34" s="77">
        <v>0.75</v>
      </c>
      <c r="D34" s="117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ht="15.75" x14ac:dyDescent="0.25">
      <c r="A35" s="76" t="s">
        <v>160</v>
      </c>
      <c r="B35" s="76"/>
      <c r="C35" s="77">
        <v>20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1:14" ht="15.75" x14ac:dyDescent="0.25">
      <c r="A36" s="76" t="s">
        <v>163</v>
      </c>
      <c r="B36" s="76">
        <v>15</v>
      </c>
      <c r="C36" s="76" t="s">
        <v>174</v>
      </c>
      <c r="D36" s="118">
        <f>(B36-$A$38)*$C$35*$C$34</f>
        <v>0</v>
      </c>
      <c r="E36" s="76" t="s">
        <v>164</v>
      </c>
      <c r="F36" s="76"/>
      <c r="G36" s="76"/>
      <c r="H36" s="76"/>
      <c r="I36" s="76"/>
      <c r="J36" s="76"/>
      <c r="K36" s="76"/>
      <c r="L36" s="76"/>
      <c r="M36" s="76"/>
      <c r="N36" s="76"/>
    </row>
    <row r="37" spans="1:14" ht="15.75" x14ac:dyDescent="0.25">
      <c r="A37" s="76" t="s">
        <v>155</v>
      </c>
      <c r="B37" s="76">
        <v>26</v>
      </c>
      <c r="C37" s="76" t="s">
        <v>175</v>
      </c>
      <c r="D37" s="118">
        <f>(B37-$A$38)*$C$35*$C$34</f>
        <v>165</v>
      </c>
      <c r="E37" s="76" t="s">
        <v>164</v>
      </c>
      <c r="F37" s="76"/>
      <c r="G37" s="76"/>
      <c r="H37" s="76"/>
      <c r="I37" s="76"/>
      <c r="J37" s="76"/>
      <c r="K37" s="76"/>
      <c r="L37" s="76"/>
      <c r="M37" s="76"/>
      <c r="N37" s="76"/>
    </row>
    <row r="38" spans="1:14" ht="15.75" x14ac:dyDescent="0.25">
      <c r="A38" s="119">
        <v>15</v>
      </c>
      <c r="B38" s="76">
        <v>41</v>
      </c>
      <c r="C38" s="76" t="s">
        <v>176</v>
      </c>
      <c r="D38" s="118">
        <f>(B38-$A$38)*$C$35*$C$34</f>
        <v>390</v>
      </c>
      <c r="E38" s="76" t="s">
        <v>164</v>
      </c>
      <c r="F38" s="76"/>
      <c r="G38" s="76"/>
      <c r="H38" s="76"/>
      <c r="I38" s="76"/>
      <c r="J38" s="76"/>
      <c r="K38" s="76"/>
      <c r="L38" s="76"/>
      <c r="M38" s="76"/>
      <c r="N38" s="76"/>
    </row>
    <row r="39" spans="1:14" ht="15.75" x14ac:dyDescent="0.25">
      <c r="A39" s="76"/>
      <c r="B39" s="76">
        <v>60</v>
      </c>
      <c r="C39" s="76" t="s">
        <v>177</v>
      </c>
      <c r="D39" s="118">
        <f>(B39-$A$38)*$C$35*$C$34</f>
        <v>675</v>
      </c>
      <c r="E39" s="76" t="s">
        <v>164</v>
      </c>
      <c r="F39" s="76"/>
      <c r="G39" s="76"/>
      <c r="H39" s="76"/>
      <c r="I39" s="76"/>
      <c r="J39" s="76"/>
      <c r="K39" s="76"/>
      <c r="L39" s="76"/>
      <c r="M39" s="76"/>
      <c r="N39" s="76"/>
    </row>
    <row r="40" spans="1:14" ht="15.75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</row>
    <row r="41" spans="1:14" ht="15.75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</row>
    <row r="42" spans="1:14" ht="15.75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</row>
    <row r="43" spans="1:14" ht="15.75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</row>
    <row r="44" spans="1:14" ht="15.75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</row>
    <row r="45" spans="1:14" ht="15.75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14" ht="15.75" x14ac:dyDescent="0.25">
      <c r="A46" s="120" t="s">
        <v>178</v>
      </c>
      <c r="B46" s="137"/>
      <c r="C46" s="137"/>
      <c r="D46" s="137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15.75" x14ac:dyDescent="0.25">
      <c r="A47" s="120" t="s">
        <v>179</v>
      </c>
      <c r="B47" s="121"/>
      <c r="C47" s="121"/>
      <c r="D47" s="121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4" ht="45" x14ac:dyDescent="0.25">
      <c r="A48" s="122" t="s">
        <v>180</v>
      </c>
      <c r="B48" s="122" t="s">
        <v>181</v>
      </c>
      <c r="C48" s="122" t="s">
        <v>182</v>
      </c>
      <c r="D48" s="122" t="s">
        <v>183</v>
      </c>
      <c r="E48" s="123" t="s">
        <v>184</v>
      </c>
      <c r="F48" s="76"/>
      <c r="G48" s="76"/>
      <c r="H48" s="76"/>
      <c r="I48" s="76"/>
      <c r="J48" s="76"/>
      <c r="K48" s="76"/>
      <c r="L48" s="76"/>
      <c r="M48" s="76"/>
      <c r="N48" s="76"/>
    </row>
    <row r="49" spans="1:14" ht="16.5" thickBot="1" x14ac:dyDescent="0.3">
      <c r="A49" s="124"/>
      <c r="B49" s="124"/>
      <c r="C49" s="125">
        <v>14</v>
      </c>
      <c r="D49" s="124"/>
      <c r="E49" s="126">
        <f>E51-G73</f>
        <v>4.0604072398190043</v>
      </c>
      <c r="F49" s="127"/>
      <c r="G49" s="127"/>
      <c r="H49" s="127"/>
      <c r="I49" s="127"/>
      <c r="J49" s="127"/>
      <c r="K49" s="127"/>
      <c r="L49" s="127"/>
      <c r="M49" s="127"/>
      <c r="N49" s="127"/>
    </row>
    <row r="50" spans="1:14" ht="15.75" x14ac:dyDescent="0.25">
      <c r="A50" s="128"/>
      <c r="B50" s="129">
        <f>IF(C50&gt;0,C50*(E49+E51)/2)</f>
        <v>58.985803167420819</v>
      </c>
      <c r="C50" s="130">
        <v>14.5</v>
      </c>
      <c r="D50" s="124"/>
      <c r="E50" s="131"/>
      <c r="F50" s="127"/>
      <c r="G50" s="127"/>
      <c r="H50" s="127"/>
      <c r="I50" s="127"/>
      <c r="J50" s="127"/>
      <c r="K50" s="127"/>
      <c r="L50" s="127"/>
      <c r="M50" s="127"/>
      <c r="N50" s="127"/>
    </row>
    <row r="51" spans="1:14" ht="16.5" thickBot="1" x14ac:dyDescent="0.3">
      <c r="A51" s="124"/>
      <c r="B51" s="124"/>
      <c r="C51" s="125">
        <v>15</v>
      </c>
      <c r="D51" s="124"/>
      <c r="E51" s="126">
        <f>E53-G73</f>
        <v>4.0755656108597282</v>
      </c>
      <c r="F51" s="127"/>
      <c r="G51" s="127"/>
      <c r="H51" s="127"/>
      <c r="I51" s="127"/>
      <c r="J51" s="127"/>
      <c r="K51" s="127"/>
      <c r="L51" s="127"/>
      <c r="M51" s="127"/>
      <c r="N51" s="127"/>
    </row>
    <row r="52" spans="1:14" ht="15.75" x14ac:dyDescent="0.25">
      <c r="A52" s="128"/>
      <c r="B52" s="129">
        <f>IF(C52&gt;0,C52*(E51+E53)/2)</f>
        <v>64.51368778280542</v>
      </c>
      <c r="C52" s="130">
        <v>15.8</v>
      </c>
      <c r="D52" s="124"/>
      <c r="E52" s="131"/>
      <c r="F52" s="127"/>
      <c r="G52" s="127"/>
      <c r="H52" s="127"/>
      <c r="I52" s="127"/>
      <c r="J52" s="127"/>
      <c r="K52" s="127"/>
      <c r="L52" s="127"/>
      <c r="M52" s="127"/>
      <c r="N52" s="127"/>
    </row>
    <row r="53" spans="1:14" ht="16.5" thickBot="1" x14ac:dyDescent="0.3">
      <c r="A53" s="124"/>
      <c r="B53" s="124"/>
      <c r="C53" s="125">
        <v>16</v>
      </c>
      <c r="D53" s="124"/>
      <c r="E53" s="126">
        <f>E55-G73</f>
        <v>4.0907239819004522</v>
      </c>
      <c r="F53" s="127"/>
      <c r="G53" s="127"/>
      <c r="H53" s="127"/>
      <c r="I53" s="127"/>
      <c r="J53" s="127"/>
      <c r="K53" s="127"/>
      <c r="L53" s="127"/>
      <c r="M53" s="127"/>
      <c r="N53" s="127"/>
    </row>
    <row r="54" spans="1:14" ht="16.5" thickBot="1" x14ac:dyDescent="0.3">
      <c r="A54" s="128"/>
      <c r="B54" s="129">
        <f>IF(C54&gt;0,C54*(E53+E55)/2)</f>
        <v>65.982680995475121</v>
      </c>
      <c r="C54" s="130">
        <v>16.100000000000001</v>
      </c>
      <c r="D54" s="129"/>
      <c r="E54" s="132"/>
      <c r="F54" s="76"/>
      <c r="G54" s="76"/>
      <c r="H54" s="76"/>
      <c r="I54" s="76"/>
      <c r="J54" s="76"/>
      <c r="K54" s="76"/>
      <c r="L54" s="76"/>
      <c r="M54" s="76"/>
      <c r="N54" s="76"/>
    </row>
    <row r="55" spans="1:14" ht="16.5" thickBot="1" x14ac:dyDescent="0.3">
      <c r="A55" s="133">
        <v>10698</v>
      </c>
      <c r="B55" s="134">
        <v>69.8</v>
      </c>
      <c r="C55" s="134">
        <v>17</v>
      </c>
      <c r="D55" s="134">
        <v>10</v>
      </c>
      <c r="E55" s="135">
        <f>B55/C55</f>
        <v>4.1058823529411761</v>
      </c>
      <c r="F55" s="76"/>
      <c r="G55" s="76"/>
      <c r="H55" s="76"/>
      <c r="I55" s="76"/>
      <c r="J55" s="76"/>
      <c r="K55" s="76"/>
      <c r="L55" s="76"/>
      <c r="M55" s="76"/>
      <c r="N55" s="76"/>
    </row>
    <row r="56" spans="1:14" ht="16.5" thickBot="1" x14ac:dyDescent="0.3">
      <c r="A56" s="128"/>
      <c r="B56" s="129">
        <f>IF(C56&gt;0,C56*(E55+E57)/2)</f>
        <v>70.302794117647068</v>
      </c>
      <c r="C56" s="130">
        <v>17.100000000000001</v>
      </c>
      <c r="D56" s="129"/>
      <c r="E56" s="132"/>
      <c r="F56" s="109"/>
      <c r="G56" s="132">
        <f>E57-E55</f>
        <v>1.0784313725490158E-2</v>
      </c>
      <c r="H56" s="109"/>
      <c r="I56" s="109"/>
      <c r="J56" s="109"/>
      <c r="K56" s="109"/>
      <c r="L56" s="109"/>
      <c r="M56" s="109"/>
      <c r="N56" s="109"/>
    </row>
    <row r="57" spans="1:14" ht="16.5" thickBot="1" x14ac:dyDescent="0.3">
      <c r="A57" s="133">
        <v>10741</v>
      </c>
      <c r="B57" s="134">
        <v>74.099999999999994</v>
      </c>
      <c r="C57" s="134">
        <v>18</v>
      </c>
      <c r="D57" s="134">
        <v>10.6</v>
      </c>
      <c r="E57" s="135">
        <f t="shared" ref="E57:E87" si="4">B57/C57</f>
        <v>4.1166666666666663</v>
      </c>
      <c r="F57" s="76"/>
      <c r="G57" s="76"/>
      <c r="H57" s="76"/>
      <c r="I57" s="76"/>
      <c r="J57" s="76"/>
      <c r="K57" s="76"/>
      <c r="L57" s="76"/>
      <c r="M57" s="76"/>
      <c r="N57" s="76"/>
    </row>
    <row r="58" spans="1:14" ht="16.5" thickBot="1" x14ac:dyDescent="0.3">
      <c r="A58" s="133"/>
      <c r="B58" s="129">
        <f>IF(C58&gt;0,C58*(E57+E59)/2)</f>
        <v>76.29627192982457</v>
      </c>
      <c r="C58" s="130">
        <v>18.5</v>
      </c>
      <c r="D58" s="134"/>
      <c r="E58" s="135"/>
      <c r="F58" s="76"/>
      <c r="G58" s="132">
        <f>E59-E57</f>
        <v>1.4912280701754987E-2</v>
      </c>
      <c r="H58" s="76"/>
      <c r="I58" s="76"/>
      <c r="J58" s="76"/>
      <c r="K58" s="76"/>
      <c r="L58" s="76"/>
      <c r="M58" s="76"/>
      <c r="N58" s="76"/>
    </row>
    <row r="59" spans="1:14" ht="16.5" thickBot="1" x14ac:dyDescent="0.3">
      <c r="A59" s="133">
        <v>10785</v>
      </c>
      <c r="B59" s="134">
        <v>78.5</v>
      </c>
      <c r="C59" s="134">
        <v>19</v>
      </c>
      <c r="D59" s="134">
        <v>11.2</v>
      </c>
      <c r="E59" s="135">
        <f t="shared" si="4"/>
        <v>4.1315789473684212</v>
      </c>
      <c r="F59" s="76"/>
      <c r="G59" s="76"/>
      <c r="H59" s="76"/>
      <c r="I59" s="76"/>
      <c r="J59" s="76"/>
      <c r="K59" s="76"/>
      <c r="L59" s="76"/>
      <c r="M59" s="76"/>
      <c r="N59" s="76"/>
    </row>
    <row r="60" spans="1:14" ht="16.5" thickBot="1" x14ac:dyDescent="0.3">
      <c r="A60" s="133"/>
      <c r="B60" s="129">
        <f>IF(C60&gt;0,C60*(E59+E61)/2)</f>
        <v>80.745394736842115</v>
      </c>
      <c r="C60" s="130">
        <v>19.5</v>
      </c>
      <c r="D60" s="134"/>
      <c r="E60" s="135"/>
      <c r="F60" s="76"/>
      <c r="G60" s="132">
        <f>E61-E59</f>
        <v>1.8421052631579116E-2</v>
      </c>
      <c r="H60" s="76"/>
      <c r="I60" s="76"/>
      <c r="J60" s="76"/>
      <c r="K60" s="76"/>
      <c r="L60" s="76"/>
      <c r="M60" s="76"/>
      <c r="N60" s="76"/>
    </row>
    <row r="61" spans="1:14" ht="16.5" thickBot="1" x14ac:dyDescent="0.3">
      <c r="A61" s="133">
        <v>10830</v>
      </c>
      <c r="B61" s="134">
        <v>83</v>
      </c>
      <c r="C61" s="134">
        <v>20</v>
      </c>
      <c r="D61" s="134">
        <v>11.8</v>
      </c>
      <c r="E61" s="135">
        <f t="shared" si="4"/>
        <v>4.1500000000000004</v>
      </c>
      <c r="F61" s="76"/>
      <c r="G61" s="76"/>
      <c r="H61" s="76"/>
      <c r="I61" s="76"/>
      <c r="J61" s="76"/>
      <c r="K61" s="76"/>
      <c r="L61" s="76"/>
      <c r="M61" s="76"/>
      <c r="N61" s="76"/>
    </row>
    <row r="62" spans="1:14" ht="16.5" thickBot="1" x14ac:dyDescent="0.3">
      <c r="A62" s="133"/>
      <c r="B62" s="129">
        <f>IF(C62&gt;0,C62*(E61+E63)/2)</f>
        <v>85.612619047619063</v>
      </c>
      <c r="C62" s="130">
        <v>20.6</v>
      </c>
      <c r="D62" s="134"/>
      <c r="E62" s="135"/>
      <c r="F62" s="76"/>
      <c r="G62" s="132">
        <f>E63-E61</f>
        <v>1.1904761904761862E-2</v>
      </c>
      <c r="H62" s="76"/>
      <c r="I62" s="76"/>
      <c r="J62" s="76"/>
      <c r="K62" s="76"/>
      <c r="L62" s="76"/>
      <c r="M62" s="76"/>
      <c r="N62" s="76"/>
    </row>
    <row r="63" spans="1:14" ht="16.5" thickBot="1" x14ac:dyDescent="0.3">
      <c r="A63" s="133">
        <v>10874</v>
      </c>
      <c r="B63" s="134">
        <v>87.4</v>
      </c>
      <c r="C63" s="134">
        <v>21</v>
      </c>
      <c r="D63" s="134">
        <v>12.4</v>
      </c>
      <c r="E63" s="135">
        <f t="shared" si="4"/>
        <v>4.1619047619047622</v>
      </c>
      <c r="F63" s="76"/>
      <c r="G63" s="76"/>
      <c r="H63" s="76"/>
      <c r="I63" s="76"/>
      <c r="J63" s="76"/>
      <c r="K63" s="76"/>
      <c r="L63" s="76"/>
      <c r="M63" s="76"/>
      <c r="N63" s="76"/>
    </row>
    <row r="64" spans="1:14" ht="16.5" thickBot="1" x14ac:dyDescent="0.3">
      <c r="A64" s="133"/>
      <c r="B64" s="129">
        <f>IF(C64&gt;0,C64*(E63+E65)/2)</f>
        <v>89.64615800865802</v>
      </c>
      <c r="C64" s="130">
        <v>21.5</v>
      </c>
      <c r="D64" s="134"/>
      <c r="E64" s="135"/>
      <c r="F64" s="76"/>
      <c r="G64" s="132">
        <f>E65-E63</f>
        <v>1.5367965367965475E-2</v>
      </c>
      <c r="H64" s="76"/>
      <c r="I64" s="76"/>
      <c r="J64" s="76"/>
      <c r="K64" s="76"/>
      <c r="L64" s="76"/>
      <c r="M64" s="76"/>
      <c r="N64" s="76"/>
    </row>
    <row r="65" spans="1:14" ht="16.5" thickBot="1" x14ac:dyDescent="0.3">
      <c r="A65" s="133">
        <v>10919</v>
      </c>
      <c r="B65" s="134">
        <v>91.9</v>
      </c>
      <c r="C65" s="134">
        <v>22</v>
      </c>
      <c r="D65" s="134">
        <v>13</v>
      </c>
      <c r="E65" s="135">
        <f t="shared" si="4"/>
        <v>4.1772727272727277</v>
      </c>
      <c r="F65" s="76"/>
      <c r="G65" s="76"/>
      <c r="H65" s="76"/>
      <c r="I65" s="76"/>
      <c r="J65" s="76"/>
      <c r="K65" s="76"/>
      <c r="L65" s="76"/>
      <c r="M65" s="76"/>
      <c r="N65" s="76"/>
    </row>
    <row r="66" spans="1:14" ht="16.5" thickBot="1" x14ac:dyDescent="0.3">
      <c r="A66" s="133"/>
      <c r="B66" s="129">
        <f>IF(C66&gt;0,C66*(E65+E67)/2)</f>
        <v>94.195405138339936</v>
      </c>
      <c r="C66" s="130">
        <v>22.5</v>
      </c>
      <c r="D66" s="134"/>
      <c r="E66" s="135"/>
      <c r="F66" s="76"/>
      <c r="G66" s="132">
        <f>E67-E65</f>
        <v>1.837944664031621E-2</v>
      </c>
      <c r="H66" s="76"/>
      <c r="I66" s="76"/>
      <c r="J66" s="76"/>
      <c r="K66" s="76"/>
      <c r="L66" s="76"/>
      <c r="M66" s="76"/>
      <c r="N66" s="76"/>
    </row>
    <row r="67" spans="1:14" ht="16.5" thickBot="1" x14ac:dyDescent="0.3">
      <c r="A67" s="133">
        <v>10965</v>
      </c>
      <c r="B67" s="134">
        <v>96.5</v>
      </c>
      <c r="C67" s="134">
        <v>23</v>
      </c>
      <c r="D67" s="134">
        <v>13.6</v>
      </c>
      <c r="E67" s="135">
        <f t="shared" si="4"/>
        <v>4.1956521739130439</v>
      </c>
      <c r="F67" s="76"/>
      <c r="G67" s="76"/>
      <c r="H67" s="76"/>
      <c r="I67" s="76"/>
      <c r="J67" s="76"/>
      <c r="K67" s="76"/>
      <c r="L67" s="76"/>
      <c r="M67" s="76"/>
      <c r="N67" s="76"/>
    </row>
    <row r="68" spans="1:14" ht="16.5" thickBot="1" x14ac:dyDescent="0.3">
      <c r="A68" s="133"/>
      <c r="B68" s="129">
        <f>IF(C68&gt;0,C68*(E67+E69)/2)</f>
        <v>98.746829710144922</v>
      </c>
      <c r="C68" s="130">
        <v>23.5</v>
      </c>
      <c r="D68" s="134"/>
      <c r="E68" s="135"/>
      <c r="F68" s="76"/>
      <c r="G68" s="132">
        <f>E69-E67</f>
        <v>1.2681159420289134E-2</v>
      </c>
      <c r="H68" s="76"/>
      <c r="I68" s="76"/>
      <c r="J68" s="76"/>
      <c r="K68" s="76"/>
      <c r="L68" s="76"/>
      <c r="M68" s="76"/>
      <c r="N68" s="76"/>
    </row>
    <row r="69" spans="1:14" ht="16.5" thickBot="1" x14ac:dyDescent="0.3">
      <c r="A69" s="133">
        <v>11010</v>
      </c>
      <c r="B69" s="134">
        <v>101</v>
      </c>
      <c r="C69" s="134">
        <v>24</v>
      </c>
      <c r="D69" s="134">
        <v>14.2</v>
      </c>
      <c r="E69" s="135">
        <f t="shared" si="4"/>
        <v>4.208333333333333</v>
      </c>
      <c r="F69" s="76"/>
      <c r="G69" s="76"/>
      <c r="H69" s="76"/>
      <c r="I69" s="76"/>
      <c r="J69" s="76"/>
      <c r="K69" s="76"/>
      <c r="L69" s="76"/>
      <c r="M69" s="76"/>
      <c r="N69" s="76"/>
    </row>
    <row r="70" spans="1:14" ht="16.5" thickBot="1" x14ac:dyDescent="0.3">
      <c r="A70" s="133"/>
      <c r="B70" s="129">
        <f>IF(C70&gt;0,C70*(E69+E71)/2)</f>
        <v>103.29608333333331</v>
      </c>
      <c r="C70" s="130">
        <v>24.5</v>
      </c>
      <c r="D70" s="134"/>
      <c r="E70" s="135"/>
      <c r="F70" s="76"/>
      <c r="G70" s="132">
        <f>E71-E69</f>
        <v>1.5666666666667162E-2</v>
      </c>
      <c r="H70" s="76"/>
      <c r="I70" s="76"/>
      <c r="J70" s="76"/>
      <c r="K70" s="76"/>
      <c r="L70" s="76"/>
      <c r="M70" s="76"/>
      <c r="N70" s="76"/>
    </row>
    <row r="71" spans="1:14" ht="16.5" thickBot="1" x14ac:dyDescent="0.3">
      <c r="A71" s="133">
        <v>11056</v>
      </c>
      <c r="B71" s="134">
        <v>105.6</v>
      </c>
      <c r="C71" s="134">
        <v>25</v>
      </c>
      <c r="D71" s="134">
        <v>14.8</v>
      </c>
      <c r="E71" s="135">
        <f t="shared" si="4"/>
        <v>4.2240000000000002</v>
      </c>
      <c r="F71" s="76"/>
      <c r="G71" s="76"/>
      <c r="H71" s="76"/>
      <c r="I71" s="76"/>
      <c r="J71" s="76"/>
      <c r="K71" s="76"/>
      <c r="L71" s="76"/>
      <c r="M71" s="76"/>
      <c r="N71" s="76"/>
    </row>
    <row r="72" spans="1:14" ht="16.5" thickBot="1" x14ac:dyDescent="0.3">
      <c r="A72" s="133"/>
      <c r="B72" s="129">
        <f>IF(C72&gt;0,C72*(E71+E73)/2)</f>
        <v>107.94542307692308</v>
      </c>
      <c r="C72" s="130">
        <v>25.5</v>
      </c>
      <c r="D72" s="134"/>
      <c r="E72" s="135"/>
      <c r="F72" s="76"/>
      <c r="G72" s="132">
        <f>E73-E71</f>
        <v>1.8307692307692136E-2</v>
      </c>
      <c r="H72" s="76"/>
      <c r="I72" s="76"/>
      <c r="J72" s="76"/>
      <c r="K72" s="76"/>
      <c r="L72" s="76"/>
      <c r="M72" s="76"/>
      <c r="N72" s="76"/>
    </row>
    <row r="73" spans="1:14" ht="16.5" thickBot="1" x14ac:dyDescent="0.3">
      <c r="A73" s="133">
        <v>11103</v>
      </c>
      <c r="B73" s="134">
        <v>110.3</v>
      </c>
      <c r="C73" s="134">
        <v>26</v>
      </c>
      <c r="D73" s="134">
        <v>15.3</v>
      </c>
      <c r="E73" s="135">
        <f t="shared" si="4"/>
        <v>4.2423076923076923</v>
      </c>
      <c r="F73" s="76"/>
      <c r="G73" s="135">
        <f>AVERAGE(G56:G72)</f>
        <v>1.5158371040724027E-2</v>
      </c>
      <c r="H73" s="76"/>
      <c r="I73" s="76"/>
      <c r="J73" s="76"/>
      <c r="K73" s="76"/>
      <c r="L73" s="76"/>
      <c r="M73" s="76"/>
      <c r="N73" s="76"/>
    </row>
    <row r="74" spans="1:14" ht="16.5" thickBot="1" x14ac:dyDescent="0.3">
      <c r="A74" s="133">
        <v>11149</v>
      </c>
      <c r="B74" s="134">
        <v>114.9</v>
      </c>
      <c r="C74" s="134">
        <v>27</v>
      </c>
      <c r="D74" s="134">
        <v>15.9</v>
      </c>
      <c r="E74" s="135">
        <f t="shared" si="4"/>
        <v>4.2555555555555555</v>
      </c>
      <c r="F74" s="76"/>
      <c r="G74" s="76"/>
      <c r="H74" s="76"/>
      <c r="I74" s="76"/>
      <c r="J74" s="76"/>
      <c r="K74" s="76"/>
      <c r="L74" s="76"/>
      <c r="M74" s="76"/>
      <c r="N74" s="76"/>
    </row>
    <row r="75" spans="1:14" ht="16.5" thickBot="1" x14ac:dyDescent="0.3">
      <c r="A75" s="133">
        <v>11196</v>
      </c>
      <c r="B75" s="134">
        <v>119.6</v>
      </c>
      <c r="C75" s="134">
        <v>28</v>
      </c>
      <c r="D75" s="134">
        <v>16.5</v>
      </c>
      <c r="E75" s="135">
        <f t="shared" si="4"/>
        <v>4.2714285714285714</v>
      </c>
      <c r="F75" s="76"/>
      <c r="G75" s="76"/>
      <c r="H75" s="76"/>
      <c r="I75" s="76"/>
      <c r="J75" s="76"/>
      <c r="K75" s="76"/>
      <c r="L75" s="76"/>
      <c r="M75" s="76"/>
      <c r="N75" s="76"/>
    </row>
    <row r="76" spans="1:14" ht="16.5" thickBot="1" x14ac:dyDescent="0.3">
      <c r="A76" s="133">
        <v>11244</v>
      </c>
      <c r="B76" s="134">
        <v>124.4</v>
      </c>
      <c r="C76" s="134">
        <v>29</v>
      </c>
      <c r="D76" s="134">
        <v>17.100000000000001</v>
      </c>
      <c r="E76" s="135">
        <f t="shared" si="4"/>
        <v>4.2896551724137932</v>
      </c>
      <c r="F76" s="76"/>
      <c r="G76" s="76"/>
      <c r="H76" s="76"/>
      <c r="I76" s="76"/>
      <c r="J76" s="76"/>
      <c r="K76" s="76"/>
      <c r="L76" s="76"/>
      <c r="M76" s="76"/>
      <c r="N76" s="76"/>
    </row>
    <row r="77" spans="1:14" ht="16.5" thickBot="1" x14ac:dyDescent="0.3">
      <c r="A77" s="133">
        <v>11291</v>
      </c>
      <c r="B77" s="134">
        <v>129.1</v>
      </c>
      <c r="C77" s="134">
        <v>30</v>
      </c>
      <c r="D77" s="134">
        <v>17.7</v>
      </c>
      <c r="E77" s="135">
        <f t="shared" si="4"/>
        <v>4.3033333333333328</v>
      </c>
      <c r="F77" s="76"/>
      <c r="G77" s="76"/>
      <c r="H77" s="76"/>
      <c r="I77" s="76"/>
      <c r="J77" s="76"/>
      <c r="K77" s="76"/>
      <c r="L77" s="76"/>
      <c r="M77" s="76"/>
      <c r="N77" s="76"/>
    </row>
    <row r="78" spans="1:14" ht="16.5" thickBot="1" x14ac:dyDescent="0.3">
      <c r="A78" s="133">
        <v>11339</v>
      </c>
      <c r="B78" s="134">
        <v>133.9</v>
      </c>
      <c r="C78" s="134">
        <v>31</v>
      </c>
      <c r="D78" s="134">
        <v>18.3</v>
      </c>
      <c r="E78" s="135">
        <f t="shared" si="4"/>
        <v>4.3193548387096774</v>
      </c>
      <c r="F78" s="76"/>
      <c r="G78" s="76"/>
      <c r="H78" s="76"/>
      <c r="I78" s="76"/>
      <c r="J78" s="76"/>
      <c r="K78" s="76"/>
      <c r="L78" s="76"/>
      <c r="M78" s="76"/>
      <c r="N78" s="76"/>
    </row>
    <row r="79" spans="1:14" ht="16.5" thickBot="1" x14ac:dyDescent="0.3">
      <c r="A79" s="133">
        <v>11388</v>
      </c>
      <c r="B79" s="134">
        <v>138.80000000000001</v>
      </c>
      <c r="C79" s="134">
        <v>32</v>
      </c>
      <c r="D79" s="134">
        <v>18.899999999999999</v>
      </c>
      <c r="E79" s="135">
        <f t="shared" si="4"/>
        <v>4.3375000000000004</v>
      </c>
      <c r="F79" s="76"/>
      <c r="G79" s="76"/>
      <c r="H79" s="76"/>
      <c r="I79" s="76"/>
      <c r="J79" s="76"/>
      <c r="K79" s="76"/>
      <c r="L79" s="76"/>
      <c r="M79" s="76"/>
      <c r="N79" s="76"/>
    </row>
    <row r="80" spans="1:14" ht="16.5" thickBot="1" x14ac:dyDescent="0.3">
      <c r="A80" s="133">
        <v>11436</v>
      </c>
      <c r="B80" s="134">
        <v>143.6</v>
      </c>
      <c r="C80" s="134">
        <v>33</v>
      </c>
      <c r="D80" s="134">
        <v>19.5</v>
      </c>
      <c r="E80" s="135">
        <f t="shared" si="4"/>
        <v>4.3515151515151516</v>
      </c>
      <c r="F80" s="76"/>
      <c r="G80" s="76"/>
      <c r="H80" s="76"/>
      <c r="I80" s="76"/>
      <c r="J80" s="76"/>
      <c r="K80" s="76"/>
      <c r="L80" s="76"/>
      <c r="M80" s="76"/>
      <c r="N80" s="76"/>
    </row>
    <row r="81" spans="1:14" ht="16.5" thickBot="1" x14ac:dyDescent="0.3">
      <c r="A81" s="133">
        <v>11486</v>
      </c>
      <c r="B81" s="134">
        <v>148.6</v>
      </c>
      <c r="C81" s="134">
        <v>34</v>
      </c>
      <c r="D81" s="134">
        <v>20.100000000000001</v>
      </c>
      <c r="E81" s="135">
        <f t="shared" si="4"/>
        <v>4.3705882352941172</v>
      </c>
      <c r="F81" s="76"/>
      <c r="G81" s="76"/>
      <c r="H81" s="76"/>
      <c r="I81" s="76"/>
      <c r="J81" s="76"/>
      <c r="K81" s="76"/>
      <c r="L81" s="76"/>
      <c r="M81" s="76"/>
      <c r="N81" s="76"/>
    </row>
    <row r="82" spans="1:14" ht="16.5" thickBot="1" x14ac:dyDescent="0.3">
      <c r="A82" s="133">
        <v>11535</v>
      </c>
      <c r="B82" s="134">
        <v>153.5</v>
      </c>
      <c r="C82" s="134">
        <v>35</v>
      </c>
      <c r="D82" s="134">
        <v>20.7</v>
      </c>
      <c r="E82" s="135">
        <f t="shared" si="4"/>
        <v>4.3857142857142861</v>
      </c>
      <c r="F82" s="76"/>
      <c r="G82" s="76"/>
      <c r="H82" s="76"/>
      <c r="I82" s="76"/>
      <c r="J82" s="76"/>
      <c r="K82" s="76"/>
      <c r="L82" s="76"/>
      <c r="M82" s="76"/>
      <c r="N82" s="76"/>
    </row>
    <row r="83" spans="1:14" ht="16.5" thickBot="1" x14ac:dyDescent="0.3">
      <c r="A83" s="133">
        <v>11585</v>
      </c>
      <c r="B83" s="134">
        <v>158.5</v>
      </c>
      <c r="C83" s="134">
        <v>36</v>
      </c>
      <c r="D83" s="134">
        <v>21.2</v>
      </c>
      <c r="E83" s="135">
        <f t="shared" si="4"/>
        <v>4.4027777777777777</v>
      </c>
      <c r="F83" s="76"/>
      <c r="G83" s="76"/>
      <c r="H83" s="76"/>
      <c r="I83" s="76"/>
      <c r="J83" s="76"/>
      <c r="K83" s="76"/>
      <c r="L83" s="76"/>
      <c r="M83" s="76"/>
      <c r="N83" s="76"/>
    </row>
    <row r="84" spans="1:14" ht="16.5" thickBot="1" x14ac:dyDescent="0.3">
      <c r="A84" s="133">
        <v>11635</v>
      </c>
      <c r="B84" s="134">
        <v>163.5</v>
      </c>
      <c r="C84" s="134">
        <v>37</v>
      </c>
      <c r="D84" s="134">
        <v>21.8</v>
      </c>
      <c r="E84" s="135">
        <f t="shared" si="4"/>
        <v>4.4189189189189193</v>
      </c>
      <c r="F84" s="76"/>
      <c r="G84" s="76"/>
      <c r="H84" s="76"/>
      <c r="I84" s="76"/>
      <c r="J84" s="76"/>
      <c r="K84" s="76"/>
      <c r="L84" s="76"/>
      <c r="M84" s="76"/>
      <c r="N84" s="76"/>
    </row>
    <row r="85" spans="1:14" ht="16.5" thickBot="1" x14ac:dyDescent="0.3">
      <c r="A85" s="133">
        <v>11686</v>
      </c>
      <c r="B85" s="134">
        <v>168.6</v>
      </c>
      <c r="C85" s="134">
        <v>38</v>
      </c>
      <c r="D85" s="134">
        <v>22.4</v>
      </c>
      <c r="E85" s="135">
        <f t="shared" si="4"/>
        <v>4.4368421052631577</v>
      </c>
      <c r="F85" s="76"/>
      <c r="G85" s="76"/>
      <c r="H85" s="76"/>
      <c r="I85" s="76"/>
      <c r="J85" s="76"/>
      <c r="K85" s="76"/>
      <c r="L85" s="76"/>
      <c r="M85" s="76"/>
      <c r="N85" s="76"/>
    </row>
    <row r="86" spans="1:14" ht="16.5" thickBot="1" x14ac:dyDescent="0.3">
      <c r="A86" s="133">
        <v>11736</v>
      </c>
      <c r="B86" s="134">
        <v>173.6</v>
      </c>
      <c r="C86" s="134">
        <v>39</v>
      </c>
      <c r="D86" s="134">
        <v>23</v>
      </c>
      <c r="E86" s="135">
        <f t="shared" si="4"/>
        <v>4.4512820512820515</v>
      </c>
      <c r="F86" s="76"/>
      <c r="G86" s="76"/>
      <c r="H86" s="76"/>
      <c r="I86" s="76"/>
      <c r="J86" s="76"/>
      <c r="K86" s="76"/>
      <c r="L86" s="76"/>
      <c r="M86" s="76"/>
      <c r="N86" s="76"/>
    </row>
    <row r="87" spans="1:14" ht="15.75" x14ac:dyDescent="0.25">
      <c r="A87" s="133">
        <v>11787</v>
      </c>
      <c r="B87" s="134">
        <v>178.7</v>
      </c>
      <c r="C87" s="134">
        <v>40</v>
      </c>
      <c r="D87" s="134">
        <v>23.6</v>
      </c>
      <c r="E87" s="135">
        <f t="shared" si="4"/>
        <v>4.4674999999999994</v>
      </c>
      <c r="F87" s="76"/>
      <c r="G87" s="76"/>
      <c r="H87" s="76"/>
      <c r="I87" s="76"/>
      <c r="J87" s="76"/>
      <c r="K87" s="76"/>
      <c r="L87" s="76"/>
      <c r="M87" s="76"/>
      <c r="N87" s="76"/>
    </row>
    <row r="88" spans="1:14" ht="15.75" x14ac:dyDescent="0.2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C63"/>
  <sheetViews>
    <sheetView zoomScale="80" zoomScaleNormal="80" workbookViewId="0">
      <selection activeCell="O9" sqref="O9"/>
    </sheetView>
  </sheetViews>
  <sheetFormatPr defaultColWidth="11.140625" defaultRowHeight="15" x14ac:dyDescent="0.2"/>
  <cols>
    <col min="1" max="1" width="17.5703125" style="7" customWidth="1"/>
    <col min="2" max="2" width="3.42578125" style="7" customWidth="1"/>
    <col min="3" max="3" width="6.140625" style="7" customWidth="1"/>
    <col min="4" max="4" width="3.5703125" style="19" customWidth="1"/>
    <col min="5" max="5" width="4" style="19" customWidth="1"/>
    <col min="6" max="6" width="4.85546875" style="19" customWidth="1"/>
    <col min="7" max="7" width="4.42578125" style="7" customWidth="1"/>
    <col min="8" max="8" width="5.5703125" style="19" customWidth="1"/>
    <col min="9" max="9" width="5.5703125" style="20" customWidth="1"/>
    <col min="10" max="10" width="6.42578125" style="7" customWidth="1"/>
    <col min="11" max="11" width="5.42578125" style="7" customWidth="1"/>
    <col min="12" max="12" width="5.7109375" style="7" customWidth="1"/>
    <col min="13" max="13" width="6" style="7" customWidth="1"/>
    <col min="14" max="14" width="7.28515625" style="7" customWidth="1"/>
    <col min="15" max="15" width="5.28515625" style="19" customWidth="1"/>
    <col min="16" max="19" width="6.7109375" style="18" customWidth="1"/>
    <col min="20" max="20" width="6.5703125" style="21" customWidth="1"/>
    <col min="21" max="21" width="7.42578125" style="7" customWidth="1"/>
    <col min="22" max="22" width="5.7109375" style="7" customWidth="1"/>
    <col min="23" max="23" width="6.140625" style="7" customWidth="1"/>
    <col min="24" max="26" width="2.85546875" style="7" customWidth="1"/>
    <col min="27" max="27" width="13" style="7" customWidth="1"/>
    <col min="28" max="30" width="4.7109375" style="7" customWidth="1"/>
    <col min="31" max="33" width="6" style="7" customWidth="1"/>
    <col min="34" max="40" width="4.7109375" style="7" customWidth="1"/>
    <col min="41" max="41" width="5" style="7" customWidth="1"/>
    <col min="42" max="42" width="4" style="7" customWidth="1"/>
    <col min="43" max="43" width="5.140625" style="7" customWidth="1"/>
    <col min="44" max="44" width="6.140625" style="7" customWidth="1"/>
    <col min="45" max="45" width="5.28515625" style="7" customWidth="1"/>
    <col min="46" max="46" width="5.42578125" style="7" customWidth="1"/>
    <col min="47" max="47" width="5" style="7" customWidth="1"/>
    <col min="48" max="49" width="5.28515625" style="7" customWidth="1"/>
    <col min="50" max="50" width="6.5703125" style="7" customWidth="1"/>
    <col min="51" max="51" width="5" style="7" customWidth="1"/>
    <col min="52" max="52" width="6.5703125" style="7" customWidth="1"/>
    <col min="53" max="53" width="7.7109375" style="7" customWidth="1"/>
    <col min="54" max="54" width="7.85546875" style="7" customWidth="1"/>
    <col min="55" max="55" width="7" style="7" customWidth="1"/>
    <col min="56" max="16384" width="11.140625" style="7"/>
  </cols>
  <sheetData>
    <row r="1" spans="1:236" ht="23.25" x14ac:dyDescent="0.35">
      <c r="A1" s="1" t="s">
        <v>0</v>
      </c>
      <c r="B1" s="1"/>
      <c r="C1" s="1"/>
      <c r="D1" s="2"/>
      <c r="E1" s="2"/>
      <c r="F1" s="2"/>
      <c r="G1" s="3"/>
      <c r="H1" s="2"/>
      <c r="I1" s="4"/>
      <c r="J1" s="3"/>
      <c r="K1" s="3"/>
      <c r="L1" s="3"/>
      <c r="M1" s="3"/>
      <c r="N1" s="3"/>
      <c r="O1" s="2"/>
      <c r="P1" s="5"/>
      <c r="Q1" s="5"/>
      <c r="R1" s="5"/>
      <c r="S1" s="5"/>
      <c r="T1" s="6"/>
      <c r="U1" s="3"/>
      <c r="V1" s="3"/>
      <c r="W1" s="3"/>
      <c r="X1" s="1" t="s">
        <v>133</v>
      </c>
    </row>
    <row r="2" spans="1:236" ht="20.25" x14ac:dyDescent="0.3">
      <c r="A2" s="36" t="s">
        <v>29</v>
      </c>
      <c r="B2" s="37"/>
      <c r="C2" s="37"/>
      <c r="D2" s="38"/>
      <c r="E2" s="38"/>
      <c r="F2" s="38"/>
      <c r="G2" s="39"/>
      <c r="H2" s="38"/>
      <c r="I2" s="40"/>
      <c r="J2" s="39"/>
      <c r="K2" s="39"/>
      <c r="L2" s="39"/>
      <c r="M2" s="39"/>
      <c r="N2" s="39"/>
      <c r="O2" s="39"/>
      <c r="P2" s="5" t="s">
        <v>95</v>
      </c>
      <c r="Q2" s="5"/>
      <c r="R2" s="14"/>
      <c r="S2" s="51"/>
      <c r="T2" s="6"/>
      <c r="U2" s="3"/>
      <c r="V2" s="3"/>
      <c r="W2" s="3"/>
      <c r="X2" s="3"/>
    </row>
    <row r="3" spans="1:236" x14ac:dyDescent="0.2">
      <c r="A3" s="3" t="s">
        <v>119</v>
      </c>
      <c r="B3" s="3"/>
      <c r="C3" s="3"/>
      <c r="D3" s="8"/>
      <c r="E3" s="2"/>
      <c r="F3" s="2"/>
      <c r="G3" s="3"/>
      <c r="H3" s="2"/>
      <c r="I3" s="4"/>
      <c r="J3" s="3"/>
      <c r="K3" s="3"/>
      <c r="L3" s="3"/>
      <c r="M3" s="3"/>
      <c r="N3" s="3"/>
      <c r="O3" s="2"/>
      <c r="P3" s="5" t="s">
        <v>30</v>
      </c>
      <c r="Q3" s="5"/>
      <c r="R3" s="14"/>
      <c r="S3" s="51"/>
      <c r="T3" s="6"/>
      <c r="U3" s="3"/>
      <c r="V3" s="3"/>
      <c r="W3" s="3"/>
      <c r="X3" s="3"/>
    </row>
    <row r="4" spans="1:236" x14ac:dyDescent="0.2">
      <c r="A4" s="3" t="s">
        <v>67</v>
      </c>
      <c r="B4" s="42"/>
      <c r="C4" s="13" t="s">
        <v>69</v>
      </c>
      <c r="D4" s="30"/>
      <c r="E4" s="2"/>
      <c r="F4" s="2"/>
      <c r="G4" s="3"/>
      <c r="H4" s="3"/>
      <c r="I4" s="3"/>
      <c r="J4" s="13"/>
      <c r="K4" s="13"/>
      <c r="L4" s="13"/>
      <c r="M4" s="3"/>
      <c r="N4" s="3"/>
      <c r="O4" s="2"/>
      <c r="P4" s="5"/>
      <c r="Q4" s="5"/>
      <c r="R4" s="5"/>
      <c r="S4" s="5"/>
      <c r="T4" s="6"/>
      <c r="U4" s="3"/>
      <c r="V4" s="3"/>
      <c r="W4" s="3"/>
      <c r="X4" s="3"/>
    </row>
    <row r="5" spans="1:236" x14ac:dyDescent="0.2">
      <c r="A5" s="3"/>
      <c r="B5" s="42"/>
      <c r="C5" s="13" t="s">
        <v>68</v>
      </c>
      <c r="D5" s="30"/>
      <c r="E5" s="2"/>
      <c r="F5" s="2"/>
      <c r="G5" s="3"/>
      <c r="H5" s="3"/>
      <c r="I5" s="3"/>
      <c r="J5" s="13"/>
      <c r="K5" s="13"/>
      <c r="L5" s="13"/>
      <c r="M5" s="3"/>
      <c r="N5" s="3"/>
      <c r="O5" s="2"/>
      <c r="Q5" s="5"/>
      <c r="R5" s="5"/>
      <c r="S5" s="5"/>
      <c r="T5" s="6"/>
      <c r="U5" s="3"/>
      <c r="V5" s="3"/>
      <c r="W5" s="3"/>
      <c r="X5" s="3"/>
    </row>
    <row r="6" spans="1:236" x14ac:dyDescent="0.2">
      <c r="A6" s="3"/>
      <c r="B6" s="42"/>
      <c r="C6" s="13" t="s">
        <v>70</v>
      </c>
      <c r="D6" s="30"/>
      <c r="E6" s="2"/>
      <c r="F6" s="2"/>
      <c r="G6" s="3"/>
      <c r="H6" s="3"/>
      <c r="I6" s="3"/>
      <c r="J6" s="13"/>
      <c r="K6" s="13"/>
      <c r="L6" s="13"/>
      <c r="M6" s="3"/>
      <c r="N6" s="3"/>
      <c r="O6" s="2"/>
      <c r="P6" s="5"/>
      <c r="Q6" s="5"/>
      <c r="R6" s="5"/>
      <c r="S6" s="5"/>
      <c r="T6" s="6"/>
      <c r="U6" s="3"/>
      <c r="V6" s="3"/>
      <c r="W6" s="3"/>
      <c r="X6" s="3"/>
    </row>
    <row r="7" spans="1:236" x14ac:dyDescent="0.2">
      <c r="A7" s="3"/>
      <c r="B7" s="42"/>
      <c r="C7" s="13" t="s">
        <v>71</v>
      </c>
      <c r="D7" s="30"/>
      <c r="E7" s="2"/>
      <c r="F7" s="2"/>
      <c r="G7" s="3"/>
      <c r="H7" s="3"/>
      <c r="I7" s="3"/>
      <c r="J7" s="13"/>
      <c r="K7" s="13"/>
      <c r="L7" s="13"/>
      <c r="M7" s="3"/>
      <c r="N7" s="3"/>
      <c r="O7" s="2"/>
      <c r="P7" s="5"/>
      <c r="Q7" s="5"/>
      <c r="R7" s="5"/>
      <c r="S7" s="5"/>
      <c r="T7" s="6"/>
      <c r="U7" s="3"/>
      <c r="V7" s="3"/>
      <c r="W7" s="3"/>
      <c r="X7" s="3"/>
    </row>
    <row r="8" spans="1:236" x14ac:dyDescent="0.2">
      <c r="A8" s="3"/>
      <c r="B8" s="42"/>
      <c r="C8" s="13" t="s">
        <v>76</v>
      </c>
      <c r="D8" s="30"/>
      <c r="E8" s="2"/>
      <c r="F8" s="2"/>
      <c r="G8" s="3"/>
      <c r="H8" s="3"/>
      <c r="I8" s="3"/>
      <c r="J8" s="13"/>
      <c r="K8" s="13"/>
      <c r="L8" s="13"/>
      <c r="M8" s="3"/>
      <c r="N8" s="3"/>
      <c r="O8" s="2"/>
      <c r="P8" s="5"/>
      <c r="Q8" s="5"/>
      <c r="R8" s="5"/>
      <c r="S8" s="5"/>
      <c r="T8" s="6"/>
      <c r="U8" s="3"/>
      <c r="V8" s="3"/>
      <c r="W8" s="3"/>
      <c r="X8" s="3"/>
    </row>
    <row r="9" spans="1:236" ht="15.75" customHeight="1" x14ac:dyDescent="0.2">
      <c r="A9" s="3"/>
      <c r="B9" s="42"/>
      <c r="C9" s="15" t="s">
        <v>74</v>
      </c>
      <c r="D9" s="30"/>
      <c r="E9" s="2"/>
      <c r="F9" s="2"/>
      <c r="G9" s="3"/>
      <c r="H9" s="3"/>
      <c r="I9" s="3"/>
      <c r="J9" s="3"/>
      <c r="K9" s="3"/>
      <c r="L9" s="3"/>
      <c r="M9" s="3"/>
      <c r="N9" s="3"/>
      <c r="O9" s="2"/>
      <c r="P9" s="5"/>
      <c r="Q9" s="5"/>
      <c r="R9" s="5"/>
      <c r="S9" s="5"/>
      <c r="T9" s="6"/>
      <c r="U9" s="3"/>
      <c r="V9" s="3"/>
      <c r="W9" s="3"/>
      <c r="X9" s="277" t="s">
        <v>81</v>
      </c>
      <c r="Y9" s="273" t="s">
        <v>82</v>
      </c>
      <c r="Z9" s="273" t="s">
        <v>83</v>
      </c>
    </row>
    <row r="10" spans="1:236" x14ac:dyDescent="0.2">
      <c r="A10" s="3"/>
      <c r="B10" s="42"/>
      <c r="C10" s="13" t="s">
        <v>72</v>
      </c>
      <c r="D10" s="30"/>
      <c r="E10" s="2"/>
      <c r="F10" s="2"/>
      <c r="G10" s="3"/>
      <c r="H10" s="3"/>
      <c r="I10" s="3"/>
      <c r="J10" s="3"/>
      <c r="K10" s="3"/>
      <c r="L10" s="3"/>
      <c r="M10" s="3"/>
      <c r="N10" s="3"/>
      <c r="O10" s="2"/>
      <c r="P10" s="5"/>
      <c r="Q10" s="5"/>
      <c r="R10" s="5"/>
      <c r="S10" s="5"/>
      <c r="T10" s="6"/>
      <c r="U10" s="3"/>
      <c r="V10" s="3"/>
      <c r="W10" s="3"/>
      <c r="X10" s="277"/>
      <c r="Y10" s="273"/>
      <c r="Z10" s="273"/>
    </row>
    <row r="11" spans="1:236" x14ac:dyDescent="0.2">
      <c r="A11" s="3"/>
      <c r="B11" s="42"/>
      <c r="C11" s="13" t="s">
        <v>73</v>
      </c>
      <c r="D11" s="30"/>
      <c r="E11" s="2"/>
      <c r="F11" s="2"/>
      <c r="G11" s="3"/>
      <c r="H11" s="3"/>
      <c r="I11" s="3"/>
      <c r="J11" s="3"/>
      <c r="K11" s="3"/>
      <c r="L11" s="3"/>
      <c r="M11" s="3"/>
      <c r="N11" s="3"/>
      <c r="O11" s="2"/>
      <c r="P11" s="5"/>
      <c r="Q11" s="5"/>
      <c r="R11" s="5"/>
      <c r="S11" s="5"/>
      <c r="T11" s="6"/>
      <c r="U11" s="3"/>
      <c r="V11" s="3"/>
      <c r="W11" s="3"/>
      <c r="X11" s="277"/>
      <c r="Y11" s="273"/>
      <c r="Z11" s="273"/>
    </row>
    <row r="12" spans="1:236" x14ac:dyDescent="0.2">
      <c r="A12" s="3"/>
      <c r="B12" s="3"/>
      <c r="C12" s="3"/>
      <c r="D12" s="8"/>
      <c r="E12" s="2"/>
      <c r="F12" s="2"/>
      <c r="G12" s="3"/>
      <c r="H12" s="2"/>
      <c r="I12" s="4"/>
      <c r="J12" s="3"/>
      <c r="K12" s="3"/>
      <c r="L12" s="3"/>
      <c r="M12" s="3"/>
      <c r="N12" s="3"/>
      <c r="O12" s="2"/>
      <c r="P12" s="5"/>
      <c r="Q12" s="5"/>
      <c r="R12" s="5"/>
      <c r="S12" s="5"/>
      <c r="T12" s="6"/>
      <c r="U12" s="3"/>
      <c r="V12" s="3"/>
      <c r="W12" s="3"/>
      <c r="X12" s="277"/>
      <c r="Y12" s="273"/>
      <c r="Z12" s="273"/>
    </row>
    <row r="13" spans="1:236" x14ac:dyDescent="0.2">
      <c r="A13" s="3" t="s">
        <v>2</v>
      </c>
      <c r="B13" s="3"/>
      <c r="C13" s="3"/>
      <c r="D13" s="2"/>
      <c r="E13" s="2"/>
      <c r="F13" s="2"/>
      <c r="G13" s="3"/>
      <c r="H13" s="2"/>
      <c r="I13" s="4"/>
      <c r="J13" s="3"/>
      <c r="K13" s="3"/>
      <c r="L13" s="3"/>
      <c r="M13" s="3"/>
      <c r="N13" s="3"/>
      <c r="O13" s="2"/>
      <c r="P13" s="5" t="s">
        <v>3</v>
      </c>
      <c r="Q13" s="5"/>
      <c r="R13" s="5"/>
      <c r="S13" s="5"/>
      <c r="T13" s="6"/>
      <c r="U13" s="3"/>
      <c r="V13" s="3"/>
      <c r="W13" s="3"/>
      <c r="X13" s="277"/>
      <c r="Y13" s="273"/>
      <c r="Z13" s="273"/>
    </row>
    <row r="14" spans="1:236" x14ac:dyDescent="0.2">
      <c r="A14" s="3"/>
      <c r="B14" s="3"/>
      <c r="C14" s="3"/>
      <c r="D14" s="2"/>
      <c r="E14" s="2"/>
      <c r="F14" s="2"/>
      <c r="G14" s="3"/>
      <c r="H14" s="2"/>
      <c r="I14" s="4"/>
      <c r="J14" s="3"/>
      <c r="K14" s="9" t="s">
        <v>4</v>
      </c>
      <c r="L14" s="9"/>
      <c r="M14" s="3"/>
      <c r="N14" s="3"/>
      <c r="O14" s="2"/>
      <c r="P14" s="10"/>
      <c r="Q14" s="10"/>
      <c r="R14" s="10"/>
      <c r="S14" s="10"/>
      <c r="T14" s="6"/>
      <c r="U14" s="3"/>
      <c r="V14" s="3"/>
      <c r="W14" s="3"/>
      <c r="X14" s="277"/>
      <c r="Y14" s="273"/>
      <c r="Z14" s="273"/>
    </row>
    <row r="15" spans="1:236" s="34" customFormat="1" ht="105" customHeight="1" x14ac:dyDescent="0.2">
      <c r="A15" s="11" t="s">
        <v>5</v>
      </c>
      <c r="B15" s="65" t="s">
        <v>107</v>
      </c>
      <c r="C15" s="65" t="s">
        <v>6</v>
      </c>
      <c r="D15" s="65" t="s">
        <v>8</v>
      </c>
      <c r="E15" s="66" t="s">
        <v>32</v>
      </c>
      <c r="F15" s="65" t="s">
        <v>75</v>
      </c>
      <c r="G15" s="65" t="s">
        <v>9</v>
      </c>
      <c r="H15" s="65" t="s">
        <v>10</v>
      </c>
      <c r="I15" s="67" t="s">
        <v>34</v>
      </c>
      <c r="J15" s="65" t="s">
        <v>11</v>
      </c>
      <c r="K15" s="65" t="s">
        <v>12</v>
      </c>
      <c r="L15" s="65" t="s">
        <v>13</v>
      </c>
      <c r="M15" s="65" t="s">
        <v>14</v>
      </c>
      <c r="N15" s="65" t="s">
        <v>15</v>
      </c>
      <c r="O15" s="65" t="s">
        <v>16</v>
      </c>
      <c r="P15" s="69" t="s">
        <v>17</v>
      </c>
      <c r="Q15" s="69" t="s">
        <v>18</v>
      </c>
      <c r="R15" s="69" t="s">
        <v>105</v>
      </c>
      <c r="S15" s="69" t="s">
        <v>19</v>
      </c>
      <c r="T15" s="70" t="s">
        <v>114</v>
      </c>
      <c r="U15" s="65" t="s">
        <v>115</v>
      </c>
      <c r="V15" s="65" t="s">
        <v>116</v>
      </c>
      <c r="W15" s="65" t="s">
        <v>24</v>
      </c>
      <c r="X15" s="65" t="s">
        <v>78</v>
      </c>
      <c r="Y15" s="71" t="s">
        <v>79</v>
      </c>
      <c r="Z15" s="71" t="s">
        <v>80</v>
      </c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</row>
    <row r="16" spans="1:236" s="34" customFormat="1" ht="11.25" x14ac:dyDescent="0.2">
      <c r="A16" s="11"/>
      <c r="B16" s="62" t="s">
        <v>106</v>
      </c>
      <c r="C16" s="62"/>
      <c r="D16" s="62"/>
      <c r="E16" s="63"/>
      <c r="F16" s="62"/>
      <c r="G16" s="68" t="s">
        <v>108</v>
      </c>
      <c r="H16" s="62"/>
      <c r="I16" s="64" t="s">
        <v>109</v>
      </c>
      <c r="J16" s="62"/>
      <c r="K16" s="62" t="s">
        <v>110</v>
      </c>
      <c r="L16" s="62" t="s">
        <v>110</v>
      </c>
      <c r="M16" s="62"/>
      <c r="N16" s="62" t="s">
        <v>117</v>
      </c>
      <c r="O16" s="62"/>
      <c r="P16" s="73" t="s">
        <v>118</v>
      </c>
      <c r="Q16" s="73" t="s">
        <v>118</v>
      </c>
      <c r="R16" s="73" t="s">
        <v>118</v>
      </c>
      <c r="S16" s="73" t="s">
        <v>118</v>
      </c>
      <c r="T16" s="74" t="s">
        <v>113</v>
      </c>
      <c r="U16" s="62" t="s">
        <v>112</v>
      </c>
      <c r="V16" s="62" t="s">
        <v>111</v>
      </c>
      <c r="W16" s="62"/>
      <c r="X16" s="62"/>
      <c r="Y16" s="62"/>
      <c r="Z16" s="6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</row>
    <row r="17" spans="1:237" x14ac:dyDescent="0.2">
      <c r="A17" s="43"/>
      <c r="B17" s="43"/>
      <c r="C17" s="43"/>
      <c r="D17" s="45"/>
      <c r="E17" s="45"/>
      <c r="F17" s="45"/>
      <c r="G17" s="43"/>
      <c r="H17" s="45"/>
      <c r="I17" s="46"/>
      <c r="J17" s="43"/>
      <c r="K17" s="43"/>
      <c r="L17" s="43"/>
      <c r="M17" s="43"/>
      <c r="N17" s="41"/>
      <c r="O17" s="45"/>
      <c r="P17" s="47"/>
      <c r="Q17" s="47"/>
      <c r="R17" s="47"/>
      <c r="S17" s="47"/>
      <c r="T17" s="48"/>
      <c r="U17" s="48"/>
      <c r="V17" s="49"/>
      <c r="W17" s="50"/>
      <c r="X17" s="43"/>
      <c r="Y17" s="43"/>
      <c r="Z17" s="43"/>
      <c r="AA17" s="16"/>
      <c r="AB17" s="1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</row>
    <row r="18" spans="1:237" s="17" customFormat="1" x14ac:dyDescent="0.2">
      <c r="A18" s="43"/>
      <c r="B18" s="43"/>
      <c r="C18" s="43"/>
      <c r="D18" s="45"/>
      <c r="E18" s="45"/>
      <c r="F18" s="45"/>
      <c r="G18" s="43"/>
      <c r="H18" s="45"/>
      <c r="I18" s="46"/>
      <c r="J18" s="43"/>
      <c r="K18" s="43"/>
      <c r="L18" s="43"/>
      <c r="M18" s="43"/>
      <c r="N18" s="41"/>
      <c r="O18" s="45"/>
      <c r="P18" s="51"/>
      <c r="Q18" s="51"/>
      <c r="R18" s="51"/>
      <c r="S18" s="51"/>
      <c r="T18" s="52"/>
      <c r="U18" s="43"/>
      <c r="V18" s="43"/>
      <c r="W18" s="53"/>
      <c r="X18" s="43"/>
      <c r="Y18" s="43"/>
      <c r="Z18" s="43"/>
      <c r="AA18" s="16"/>
      <c r="AB18" s="16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7"/>
    </row>
    <row r="19" spans="1:237" x14ac:dyDescent="0.2">
      <c r="A19" s="43"/>
      <c r="B19" s="43"/>
      <c r="C19" s="43"/>
      <c r="D19" s="45"/>
      <c r="E19" s="45"/>
      <c r="F19" s="45"/>
      <c r="G19" s="43"/>
      <c r="H19" s="45"/>
      <c r="I19" s="46"/>
      <c r="J19" s="43"/>
      <c r="K19" s="43"/>
      <c r="L19" s="43"/>
      <c r="M19" s="43"/>
      <c r="N19" s="41"/>
      <c r="O19" s="54"/>
      <c r="P19" s="51"/>
      <c r="Q19" s="51"/>
      <c r="R19" s="51"/>
      <c r="S19" s="51"/>
      <c r="T19" s="52"/>
      <c r="U19" s="43"/>
      <c r="V19" s="43"/>
      <c r="W19" s="53"/>
      <c r="X19" s="43"/>
      <c r="Y19" s="43"/>
      <c r="Z19" s="43"/>
      <c r="AA19" s="16"/>
      <c r="AB19" s="16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</row>
    <row r="20" spans="1:237" x14ac:dyDescent="0.2">
      <c r="A20" s="43"/>
      <c r="B20" s="43"/>
      <c r="C20" s="43"/>
      <c r="D20" s="45"/>
      <c r="E20" s="45"/>
      <c r="F20" s="45"/>
      <c r="G20" s="43"/>
      <c r="H20" s="45"/>
      <c r="I20" s="46"/>
      <c r="J20" s="43"/>
      <c r="K20" s="43"/>
      <c r="L20" s="43"/>
      <c r="M20" s="43"/>
      <c r="N20" s="41"/>
      <c r="O20" s="45"/>
      <c r="P20" s="55"/>
      <c r="Q20" s="55"/>
      <c r="R20" s="55"/>
      <c r="S20" s="55"/>
      <c r="T20" s="56"/>
      <c r="U20" s="56"/>
      <c r="V20" s="57"/>
      <c r="W20" s="58"/>
      <c r="X20" s="43"/>
      <c r="Y20" s="43"/>
      <c r="Z20" s="43"/>
      <c r="AA20" s="16"/>
      <c r="AB20" s="16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</row>
    <row r="21" spans="1:237" x14ac:dyDescent="0.2">
      <c r="A21" s="43"/>
      <c r="B21" s="43"/>
      <c r="C21" s="43"/>
      <c r="D21" s="45"/>
      <c r="E21" s="45"/>
      <c r="F21" s="45"/>
      <c r="G21" s="43"/>
      <c r="H21" s="45"/>
      <c r="I21" s="46"/>
      <c r="J21" s="43"/>
      <c r="K21" s="43"/>
      <c r="L21" s="43"/>
      <c r="M21" s="43"/>
      <c r="N21" s="41"/>
      <c r="O21" s="45"/>
      <c r="P21" s="51"/>
      <c r="Q21" s="51"/>
      <c r="R21" s="51"/>
      <c r="S21" s="51"/>
      <c r="T21" s="52"/>
      <c r="U21" s="43"/>
      <c r="V21" s="43"/>
      <c r="W21" s="53"/>
      <c r="X21" s="43"/>
      <c r="Y21" s="43"/>
      <c r="Z21" s="43"/>
      <c r="AA21" s="16"/>
      <c r="AB21" s="16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</row>
    <row r="22" spans="1:237" x14ac:dyDescent="0.2">
      <c r="A22" s="43"/>
      <c r="B22" s="43"/>
      <c r="C22" s="43"/>
      <c r="D22" s="45"/>
      <c r="E22" s="45"/>
      <c r="F22" s="45"/>
      <c r="G22" s="43"/>
      <c r="H22" s="45"/>
      <c r="I22" s="46"/>
      <c r="J22" s="43"/>
      <c r="K22" s="43"/>
      <c r="L22" s="43"/>
      <c r="M22" s="43"/>
      <c r="N22" s="41"/>
      <c r="O22" s="45"/>
      <c r="P22" s="51"/>
      <c r="Q22" s="51"/>
      <c r="R22" s="51"/>
      <c r="S22" s="51"/>
      <c r="T22" s="52"/>
      <c r="U22" s="43"/>
      <c r="V22" s="43"/>
      <c r="W22" s="43"/>
      <c r="X22" s="43"/>
      <c r="Y22" s="43"/>
      <c r="Z22" s="43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</row>
    <row r="23" spans="1:237" x14ac:dyDescent="0.2">
      <c r="A23" s="42"/>
      <c r="B23" s="42"/>
      <c r="C23" s="42"/>
      <c r="D23" s="59"/>
      <c r="E23" s="59"/>
      <c r="F23" s="59"/>
      <c r="G23" s="42"/>
      <c r="H23" s="59"/>
      <c r="I23" s="60"/>
      <c r="J23" s="42"/>
      <c r="K23" s="42"/>
      <c r="L23" s="42"/>
      <c r="M23" s="42"/>
      <c r="N23" s="41"/>
      <c r="O23" s="59"/>
      <c r="P23" s="51"/>
      <c r="Q23" s="51"/>
      <c r="R23" s="51"/>
      <c r="S23" s="51"/>
      <c r="T23" s="61"/>
      <c r="U23" s="42"/>
      <c r="V23" s="42"/>
      <c r="W23" s="42"/>
      <c r="X23" s="42"/>
      <c r="Y23" s="42"/>
      <c r="Z23" s="42"/>
    </row>
    <row r="24" spans="1:237" x14ac:dyDescent="0.2">
      <c r="A24" s="42"/>
      <c r="B24" s="42"/>
      <c r="C24" s="42"/>
      <c r="D24" s="59"/>
      <c r="E24" s="59"/>
      <c r="F24" s="59"/>
      <c r="G24" s="42"/>
      <c r="H24" s="59"/>
      <c r="I24" s="60"/>
      <c r="J24" s="42"/>
      <c r="K24" s="42"/>
      <c r="L24" s="42"/>
      <c r="M24" s="42"/>
      <c r="N24" s="41"/>
      <c r="O24" s="59"/>
      <c r="P24" s="51"/>
      <c r="Q24" s="51"/>
      <c r="R24" s="51"/>
      <c r="S24" s="51"/>
      <c r="T24" s="61"/>
      <c r="U24" s="42"/>
      <c r="V24" s="42"/>
      <c r="W24" s="42"/>
      <c r="X24" s="42"/>
      <c r="Y24" s="42"/>
      <c r="Z24" s="42"/>
    </row>
    <row r="25" spans="1:237" x14ac:dyDescent="0.2">
      <c r="A25" s="42"/>
      <c r="B25" s="42"/>
      <c r="C25" s="42"/>
      <c r="D25" s="59"/>
      <c r="E25" s="59"/>
      <c r="F25" s="59"/>
      <c r="G25" s="42"/>
      <c r="H25" s="59"/>
      <c r="I25" s="60"/>
      <c r="J25" s="42"/>
      <c r="K25" s="42"/>
      <c r="L25" s="42"/>
      <c r="M25" s="42"/>
      <c r="N25" s="41"/>
      <c r="O25" s="59"/>
      <c r="P25" s="51"/>
      <c r="Q25" s="51"/>
      <c r="R25" s="51"/>
      <c r="S25" s="51"/>
      <c r="T25" s="61"/>
      <c r="U25" s="42"/>
      <c r="V25" s="42"/>
      <c r="W25" s="42"/>
      <c r="X25" s="42"/>
      <c r="Y25" s="42"/>
      <c r="Z25" s="42"/>
    </row>
    <row r="26" spans="1:237" x14ac:dyDescent="0.2">
      <c r="A26" s="42"/>
      <c r="B26" s="42"/>
      <c r="C26" s="42"/>
      <c r="D26" s="59"/>
      <c r="E26" s="59"/>
      <c r="F26" s="59"/>
      <c r="G26" s="42"/>
      <c r="H26" s="59"/>
      <c r="I26" s="60"/>
      <c r="J26" s="42"/>
      <c r="K26" s="42"/>
      <c r="L26" s="42"/>
      <c r="M26" s="42"/>
      <c r="N26" s="41"/>
      <c r="O26" s="59"/>
      <c r="P26" s="51"/>
      <c r="Q26" s="51"/>
      <c r="R26" s="51"/>
      <c r="S26" s="51"/>
      <c r="T26" s="61"/>
      <c r="U26" s="42"/>
      <c r="V26" s="42"/>
      <c r="W26" s="42"/>
      <c r="X26" s="42"/>
      <c r="Y26" s="42"/>
      <c r="Z26" s="42"/>
    </row>
    <row r="27" spans="1:237" x14ac:dyDescent="0.2">
      <c r="A27" s="42"/>
      <c r="B27" s="42"/>
      <c r="C27" s="42"/>
      <c r="D27" s="59"/>
      <c r="E27" s="59"/>
      <c r="F27" s="59"/>
      <c r="G27" s="42"/>
      <c r="H27" s="59"/>
      <c r="I27" s="60"/>
      <c r="J27" s="42"/>
      <c r="K27" s="42"/>
      <c r="L27" s="42"/>
      <c r="M27" s="42"/>
      <c r="N27" s="41"/>
      <c r="O27" s="59"/>
      <c r="P27" s="51"/>
      <c r="Q27" s="51"/>
      <c r="R27" s="51"/>
      <c r="S27" s="51"/>
      <c r="T27" s="61"/>
      <c r="U27" s="42"/>
      <c r="V27" s="42"/>
      <c r="W27" s="42"/>
      <c r="X27" s="42"/>
      <c r="Y27" s="42"/>
      <c r="Z27" s="42"/>
    </row>
    <row r="28" spans="1:237" x14ac:dyDescent="0.2">
      <c r="A28" s="42"/>
      <c r="B28" s="42"/>
      <c r="C28" s="42"/>
      <c r="D28" s="59"/>
      <c r="E28" s="59"/>
      <c r="F28" s="59"/>
      <c r="G28" s="42"/>
      <c r="H28" s="59"/>
      <c r="I28" s="60"/>
      <c r="J28" s="42"/>
      <c r="K28" s="42"/>
      <c r="L28" s="42"/>
      <c r="M28" s="42"/>
      <c r="N28" s="41"/>
      <c r="O28" s="59"/>
      <c r="P28" s="51"/>
      <c r="Q28" s="51"/>
      <c r="R28" s="51"/>
      <c r="S28" s="51"/>
      <c r="T28" s="61"/>
      <c r="U28" s="42"/>
      <c r="V28" s="42"/>
      <c r="W28" s="42"/>
      <c r="X28" s="42"/>
      <c r="Y28" s="42"/>
      <c r="Z28" s="42"/>
    </row>
    <row r="29" spans="1:237" x14ac:dyDescent="0.2">
      <c r="A29" s="42"/>
      <c r="B29" s="42"/>
      <c r="C29" s="42"/>
      <c r="D29" s="59"/>
      <c r="E29" s="59"/>
      <c r="F29" s="59"/>
      <c r="G29" s="42"/>
      <c r="H29" s="59"/>
      <c r="I29" s="60"/>
      <c r="J29" s="42"/>
      <c r="K29" s="42"/>
      <c r="L29" s="42"/>
      <c r="M29" s="42"/>
      <c r="N29" s="41"/>
      <c r="O29" s="59"/>
      <c r="P29" s="51"/>
      <c r="Q29" s="51"/>
      <c r="R29" s="51"/>
      <c r="S29" s="51"/>
      <c r="T29" s="61"/>
      <c r="U29" s="42"/>
      <c r="V29" s="42"/>
      <c r="W29" s="42"/>
      <c r="X29" s="42"/>
      <c r="Y29" s="42"/>
      <c r="Z29" s="42"/>
    </row>
    <row r="30" spans="1:237" x14ac:dyDescent="0.2">
      <c r="A30" s="42"/>
      <c r="B30" s="42"/>
      <c r="C30" s="42"/>
      <c r="D30" s="59"/>
      <c r="E30" s="59"/>
      <c r="F30" s="59"/>
      <c r="G30" s="42"/>
      <c r="H30" s="59"/>
      <c r="I30" s="60"/>
      <c r="J30" s="42"/>
      <c r="K30" s="42"/>
      <c r="L30" s="42"/>
      <c r="M30" s="42"/>
      <c r="N30" s="41"/>
      <c r="O30" s="59"/>
      <c r="P30" s="51"/>
      <c r="Q30" s="51"/>
      <c r="R30" s="51"/>
      <c r="S30" s="51"/>
      <c r="T30" s="61"/>
      <c r="U30" s="42"/>
      <c r="V30" s="42"/>
      <c r="W30" s="42"/>
      <c r="X30" s="42"/>
      <c r="Y30" s="42"/>
      <c r="Z30" s="42"/>
    </row>
    <row r="31" spans="1:237" x14ac:dyDescent="0.2">
      <c r="A31" s="42"/>
      <c r="B31" s="42"/>
      <c r="C31" s="42"/>
      <c r="D31" s="59"/>
      <c r="E31" s="59"/>
      <c r="F31" s="59"/>
      <c r="G31" s="42"/>
      <c r="H31" s="59"/>
      <c r="I31" s="60"/>
      <c r="J31" s="42"/>
      <c r="K31" s="42"/>
      <c r="L31" s="42"/>
      <c r="M31" s="42"/>
      <c r="N31" s="41"/>
      <c r="O31" s="59"/>
      <c r="P31" s="51"/>
      <c r="Q31" s="51"/>
      <c r="R31" s="51"/>
      <c r="S31" s="51"/>
      <c r="T31" s="61"/>
      <c r="U31" s="42"/>
      <c r="V31" s="42"/>
      <c r="W31" s="42"/>
      <c r="X31" s="42"/>
      <c r="Y31" s="42"/>
      <c r="Z31" s="42"/>
    </row>
    <row r="32" spans="1:237" x14ac:dyDescent="0.2">
      <c r="A32" s="42"/>
      <c r="B32" s="42"/>
      <c r="C32" s="42"/>
      <c r="D32" s="59"/>
      <c r="E32" s="59"/>
      <c r="F32" s="59"/>
      <c r="G32" s="42"/>
      <c r="H32" s="59"/>
      <c r="I32" s="60"/>
      <c r="J32" s="42"/>
      <c r="K32" s="42"/>
      <c r="L32" s="42"/>
      <c r="M32" s="42"/>
      <c r="N32" s="41"/>
      <c r="O32" s="59"/>
      <c r="P32" s="51"/>
      <c r="Q32" s="51"/>
      <c r="R32" s="51"/>
      <c r="S32" s="51"/>
      <c r="T32" s="61"/>
      <c r="U32" s="42"/>
      <c r="V32" s="42"/>
      <c r="W32" s="42"/>
      <c r="X32" s="42"/>
      <c r="Y32" s="42"/>
      <c r="Z32" s="42"/>
    </row>
    <row r="33" spans="1:26" x14ac:dyDescent="0.2">
      <c r="A33" s="42"/>
      <c r="B33" s="42"/>
      <c r="C33" s="42"/>
      <c r="D33" s="59"/>
      <c r="E33" s="59"/>
      <c r="F33" s="59"/>
      <c r="G33" s="42"/>
      <c r="H33" s="59"/>
      <c r="I33" s="60"/>
      <c r="J33" s="42"/>
      <c r="K33" s="42"/>
      <c r="L33" s="42"/>
      <c r="M33" s="42"/>
      <c r="N33" s="41"/>
      <c r="O33" s="59"/>
      <c r="P33" s="51"/>
      <c r="Q33" s="51"/>
      <c r="R33" s="51"/>
      <c r="S33" s="51"/>
      <c r="T33" s="61"/>
      <c r="U33" s="42"/>
      <c r="V33" s="42"/>
      <c r="W33" s="42"/>
      <c r="X33" s="42"/>
      <c r="Y33" s="42"/>
      <c r="Z33" s="42"/>
    </row>
    <row r="34" spans="1:26" x14ac:dyDescent="0.2">
      <c r="A34" s="42"/>
      <c r="B34" s="42"/>
      <c r="C34" s="42"/>
      <c r="D34" s="59"/>
      <c r="E34" s="59"/>
      <c r="F34" s="59"/>
      <c r="G34" s="42"/>
      <c r="H34" s="59"/>
      <c r="I34" s="60"/>
      <c r="J34" s="42"/>
      <c r="K34" s="42"/>
      <c r="L34" s="42"/>
      <c r="M34" s="42"/>
      <c r="N34" s="41"/>
      <c r="O34" s="59"/>
      <c r="P34" s="51"/>
      <c r="Q34" s="51"/>
      <c r="R34" s="51"/>
      <c r="S34" s="51"/>
      <c r="T34" s="61"/>
      <c r="U34" s="42"/>
      <c r="V34" s="42"/>
      <c r="W34" s="42"/>
      <c r="X34" s="42"/>
      <c r="Y34" s="42"/>
      <c r="Z34" s="42"/>
    </row>
    <row r="35" spans="1:26" x14ac:dyDescent="0.2">
      <c r="A35" s="42"/>
      <c r="B35" s="42"/>
      <c r="C35" s="42"/>
      <c r="D35" s="59"/>
      <c r="E35" s="59"/>
      <c r="F35" s="59"/>
      <c r="G35" s="42"/>
      <c r="H35" s="59"/>
      <c r="I35" s="60"/>
      <c r="J35" s="42"/>
      <c r="K35" s="42"/>
      <c r="L35" s="42"/>
      <c r="M35" s="42"/>
      <c r="N35" s="42"/>
      <c r="O35" s="59"/>
      <c r="P35" s="51"/>
      <c r="Q35" s="51"/>
      <c r="R35" s="51"/>
      <c r="S35" s="51"/>
      <c r="T35" s="61"/>
      <c r="U35" s="42"/>
      <c r="V35" s="42"/>
      <c r="W35" s="42"/>
      <c r="X35" s="42"/>
      <c r="Y35" s="42"/>
      <c r="Z35" s="42"/>
    </row>
    <row r="36" spans="1:26" x14ac:dyDescent="0.2">
      <c r="A36" s="42"/>
      <c r="B36" s="42"/>
      <c r="C36" s="42"/>
      <c r="D36" s="59"/>
      <c r="E36" s="59"/>
      <c r="F36" s="59"/>
      <c r="G36" s="42"/>
      <c r="H36" s="59"/>
      <c r="I36" s="60"/>
      <c r="J36" s="42"/>
      <c r="K36" s="42"/>
      <c r="L36" s="42"/>
      <c r="M36" s="42"/>
      <c r="N36" s="42"/>
      <c r="O36" s="59"/>
      <c r="P36" s="51"/>
      <c r="Q36" s="51"/>
      <c r="R36" s="51"/>
      <c r="S36" s="51"/>
      <c r="T36" s="61"/>
      <c r="U36" s="42"/>
      <c r="V36" s="42"/>
      <c r="W36" s="42"/>
      <c r="X36" s="42"/>
      <c r="Y36" s="42"/>
      <c r="Z36" s="42"/>
    </row>
    <row r="39" spans="1:26" x14ac:dyDescent="0.2">
      <c r="D39" s="22"/>
    </row>
    <row r="40" spans="1:26" x14ac:dyDescent="0.2">
      <c r="D40" s="22"/>
      <c r="J40" s="22"/>
    </row>
    <row r="41" spans="1:26" x14ac:dyDescent="0.2">
      <c r="D41" s="22"/>
      <c r="J41" s="22"/>
    </row>
    <row r="42" spans="1:26" x14ac:dyDescent="0.2">
      <c r="D42" s="22"/>
      <c r="J42" s="22"/>
    </row>
    <row r="43" spans="1:26" x14ac:dyDescent="0.2">
      <c r="D43" s="22"/>
      <c r="J43" s="22"/>
    </row>
    <row r="44" spans="1:26" x14ac:dyDescent="0.2">
      <c r="E44" s="22"/>
      <c r="F44" s="22"/>
    </row>
    <row r="45" spans="1:26" ht="15.75" x14ac:dyDescent="0.25">
      <c r="E45" s="27"/>
      <c r="F45" s="27"/>
      <c r="G45" s="28"/>
      <c r="H45" s="25"/>
      <c r="I45" s="29"/>
      <c r="J45" s="25"/>
      <c r="K45" s="25"/>
      <c r="L45" s="25"/>
      <c r="M45" s="30"/>
      <c r="N45" s="30"/>
      <c r="R45" s="5"/>
    </row>
    <row r="46" spans="1:26" ht="15.75" x14ac:dyDescent="0.25">
      <c r="E46" s="27"/>
      <c r="F46" s="27"/>
      <c r="G46" s="274"/>
      <c r="H46" s="275"/>
      <c r="I46" s="275"/>
      <c r="J46" s="275"/>
      <c r="K46" s="275"/>
      <c r="L46" s="275"/>
      <c r="M46" s="275"/>
      <c r="N46" s="276"/>
      <c r="O46" s="23"/>
      <c r="P46" s="24"/>
      <c r="Q46" s="25"/>
      <c r="R46" s="25"/>
    </row>
    <row r="47" spans="1:26" ht="15.75" x14ac:dyDescent="0.25">
      <c r="E47" s="27"/>
      <c r="F47" s="27"/>
      <c r="G47" s="274"/>
      <c r="H47" s="275"/>
      <c r="I47" s="275"/>
      <c r="J47" s="275"/>
      <c r="K47" s="275"/>
      <c r="L47" s="275"/>
      <c r="M47" s="275"/>
      <c r="N47" s="30"/>
      <c r="O47" s="23"/>
      <c r="P47" s="24"/>
      <c r="Q47" s="25"/>
      <c r="R47" s="25"/>
    </row>
    <row r="48" spans="1:26" ht="15.75" x14ac:dyDescent="0.25">
      <c r="E48" s="27"/>
      <c r="F48" s="27"/>
      <c r="G48" s="274"/>
      <c r="H48" s="275"/>
      <c r="I48" s="275"/>
      <c r="J48" s="275"/>
      <c r="K48" s="275"/>
      <c r="L48" s="275"/>
      <c r="M48" s="275"/>
      <c r="N48" s="276"/>
      <c r="O48" s="23"/>
      <c r="P48" s="24"/>
      <c r="Q48" s="25"/>
      <c r="R48" s="25"/>
    </row>
    <row r="49" spans="5:18" ht="15.75" x14ac:dyDescent="0.25">
      <c r="E49" s="27"/>
      <c r="F49" s="27"/>
      <c r="G49" s="274"/>
      <c r="H49" s="275"/>
      <c r="I49" s="275"/>
      <c r="J49" s="275"/>
      <c r="K49" s="275"/>
      <c r="L49" s="275"/>
      <c r="M49" s="275"/>
      <c r="N49" s="276"/>
      <c r="O49" s="23"/>
      <c r="P49" s="24"/>
      <c r="Q49" s="25"/>
      <c r="R49" s="25"/>
    </row>
    <row r="50" spans="5:18" ht="15.75" x14ac:dyDescent="0.25">
      <c r="E50" s="27"/>
      <c r="F50" s="27"/>
      <c r="G50" s="274"/>
      <c r="H50" s="275"/>
      <c r="I50" s="275"/>
      <c r="J50" s="275"/>
      <c r="K50" s="275"/>
      <c r="L50" s="275"/>
      <c r="M50" s="275"/>
      <c r="N50" s="276"/>
      <c r="O50" s="23"/>
      <c r="P50" s="24"/>
      <c r="Q50" s="26"/>
      <c r="R50" s="25"/>
    </row>
    <row r="51" spans="5:18" ht="15.75" x14ac:dyDescent="0.25">
      <c r="E51" s="27"/>
      <c r="F51" s="27"/>
      <c r="G51" s="274"/>
      <c r="H51" s="275"/>
      <c r="I51" s="275"/>
      <c r="J51" s="275"/>
      <c r="K51" s="275"/>
      <c r="L51" s="275"/>
      <c r="M51" s="275"/>
      <c r="N51" s="30"/>
      <c r="O51" s="34"/>
      <c r="P51" s="35"/>
      <c r="Q51" s="25"/>
      <c r="R51" s="25"/>
    </row>
    <row r="52" spans="5:18" ht="15.75" x14ac:dyDescent="0.25">
      <c r="E52" s="27"/>
      <c r="F52" s="27"/>
      <c r="G52" s="274"/>
      <c r="H52" s="275"/>
      <c r="I52" s="275"/>
      <c r="J52" s="275"/>
      <c r="K52" s="275"/>
      <c r="L52" s="275"/>
      <c r="M52" s="275"/>
      <c r="N52" s="30"/>
      <c r="O52" s="23"/>
      <c r="P52" s="24"/>
      <c r="Q52" s="25"/>
      <c r="R52" s="25"/>
    </row>
    <row r="53" spans="5:18" ht="15.75" x14ac:dyDescent="0.25">
      <c r="E53" s="27"/>
      <c r="F53" s="27"/>
      <c r="G53" s="274"/>
      <c r="H53" s="275"/>
      <c r="I53" s="275"/>
      <c r="J53" s="275"/>
      <c r="K53" s="275"/>
      <c r="L53" s="275"/>
      <c r="M53" s="275"/>
      <c r="N53" s="30"/>
      <c r="O53" s="23"/>
      <c r="P53" s="24"/>
      <c r="Q53" s="25"/>
      <c r="R53" s="25"/>
    </row>
    <row r="54" spans="5:18" ht="15.75" x14ac:dyDescent="0.25">
      <c r="E54" s="27"/>
      <c r="F54" s="27"/>
      <c r="G54" s="274"/>
      <c r="H54" s="275"/>
      <c r="I54" s="275"/>
      <c r="J54" s="275"/>
      <c r="K54" s="275"/>
      <c r="L54" s="275"/>
      <c r="M54" s="275"/>
      <c r="N54" s="276"/>
      <c r="O54" s="23"/>
      <c r="P54" s="24"/>
    </row>
    <row r="55" spans="5:18" ht="15.75" x14ac:dyDescent="0.25">
      <c r="E55" s="27"/>
      <c r="F55" s="27"/>
      <c r="G55" s="33"/>
      <c r="H55" s="31"/>
      <c r="I55" s="12"/>
      <c r="J55" s="31"/>
      <c r="K55" s="31"/>
      <c r="L55" s="31"/>
      <c r="M55" s="32"/>
      <c r="N55" s="30"/>
    </row>
    <row r="56" spans="5:18" ht="15.75" x14ac:dyDescent="0.25">
      <c r="E56" s="27"/>
      <c r="F56" s="27"/>
      <c r="G56" s="274"/>
      <c r="H56" s="275"/>
      <c r="I56" s="275"/>
      <c r="J56" s="275"/>
      <c r="K56" s="275"/>
      <c r="L56" s="275"/>
      <c r="M56" s="275"/>
      <c r="N56" s="30"/>
    </row>
    <row r="57" spans="5:18" ht="15.75" x14ac:dyDescent="0.25">
      <c r="E57" s="27"/>
      <c r="F57" s="27"/>
      <c r="G57" s="274"/>
      <c r="H57" s="275"/>
      <c r="I57" s="275"/>
      <c r="J57" s="275"/>
      <c r="K57" s="275"/>
      <c r="L57" s="275"/>
      <c r="M57" s="275"/>
      <c r="N57" s="30"/>
    </row>
    <row r="59" spans="5:18" x14ac:dyDescent="0.2">
      <c r="F59" s="22"/>
    </row>
    <row r="60" spans="5:18" x14ac:dyDescent="0.2">
      <c r="F60" s="44"/>
    </row>
    <row r="61" spans="5:18" x14ac:dyDescent="0.2">
      <c r="F61" s="44"/>
    </row>
    <row r="62" spans="5:18" x14ac:dyDescent="0.2">
      <c r="F62" s="44"/>
    </row>
    <row r="63" spans="5:18" x14ac:dyDescent="0.2">
      <c r="F63" s="44"/>
    </row>
  </sheetData>
  <mergeCells count="14">
    <mergeCell ref="G56:M56"/>
    <mergeCell ref="G57:M57"/>
    <mergeCell ref="X9:X14"/>
    <mergeCell ref="G46:N46"/>
    <mergeCell ref="G47:M47"/>
    <mergeCell ref="G48:N48"/>
    <mergeCell ref="G49:N49"/>
    <mergeCell ref="G50:N50"/>
    <mergeCell ref="G51:M51"/>
    <mergeCell ref="Y9:Y14"/>
    <mergeCell ref="Z9:Z14"/>
    <mergeCell ref="G52:M52"/>
    <mergeCell ref="G53:M53"/>
    <mergeCell ref="G54:N5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elektronisk</vt:lpstr>
      <vt:lpstr>beregning</vt:lpstr>
      <vt:lpstr>Ark3</vt:lpstr>
      <vt:lpstr>papir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FDV Høstskema</dc:title>
  <dc:creator/>
  <cp:lastModifiedBy/>
  <dcterms:created xsi:type="dcterms:W3CDTF">2006-09-25T13:34:53Z</dcterms:created>
  <dcterms:modified xsi:type="dcterms:W3CDTF">2021-05-22T13:39:13Z</dcterms:modified>
</cp:coreProperties>
</file>